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7"/>
  </bookViews>
  <sheets>
    <sheet name="Расчет 17567,4  50%" sheetId="1" state="hidden" r:id="rId1"/>
    <sheet name="Расчет -30%" sheetId="2" state="hidden" r:id="rId2"/>
    <sheet name="Анализ" sheetId="3" state="hidden" r:id="rId3"/>
    <sheet name="Расчет -35% (2)" sheetId="4" state="hidden" r:id="rId4"/>
    <sheet name="Анализ (2)" sheetId="5" state="hidden" r:id="rId5"/>
    <sheet name="Расчет -40% (3)" sheetId="6" state="hidden" r:id="rId6"/>
    <sheet name="Анализ (3)" sheetId="7" state="hidden" r:id="rId7"/>
    <sheet name="Расчет -50% (2)" sheetId="8" r:id="rId8"/>
    <sheet name="Анализ (4)" sheetId="9" state="hidden" r:id="rId9"/>
    <sheet name="СРАВНЕНИЕ" sheetId="10" state="hidden" r:id="rId10"/>
    <sheet name="Анализ расчета 30,35,40" sheetId="11" state="hidden" r:id="rId11"/>
  </sheets>
  <definedNames/>
  <calcPr fullCalcOnLoad="1"/>
</workbook>
</file>

<file path=xl/sharedStrings.xml><?xml version="1.0" encoding="utf-8"?>
<sst xmlns="http://schemas.openxmlformats.org/spreadsheetml/2006/main" count="504" uniqueCount="157">
  <si>
    <t>поддержку мер по обеспечению тсбалансированности местных бюджетов на 2017 год</t>
  </si>
  <si>
    <t xml:space="preserve">Расчет распределения иных межбюджетных трансфертов  в форме дотаций на </t>
  </si>
  <si>
    <t>№</t>
  </si>
  <si>
    <t>Наименование</t>
  </si>
  <si>
    <t>всего Доходы</t>
  </si>
  <si>
    <t>Д</t>
  </si>
  <si>
    <t>налоговые</t>
  </si>
  <si>
    <t>НД</t>
  </si>
  <si>
    <t>НДФЛ</t>
  </si>
  <si>
    <t>имущ</t>
  </si>
  <si>
    <t>земельный</t>
  </si>
  <si>
    <t>госпошлина</t>
  </si>
  <si>
    <t>прочие</t>
  </si>
  <si>
    <t>без акцизов</t>
  </si>
  <si>
    <t>неналоговын</t>
  </si>
  <si>
    <t>ННД</t>
  </si>
  <si>
    <t>аренда зем</t>
  </si>
  <si>
    <t>аренда имущ</t>
  </si>
  <si>
    <t>дох от прод</t>
  </si>
  <si>
    <t>мат и немат рес</t>
  </si>
  <si>
    <t>штрафы</t>
  </si>
  <si>
    <t>Д(прогн)</t>
  </si>
  <si>
    <t>МБТ 2017</t>
  </si>
  <si>
    <t>Дотация</t>
  </si>
  <si>
    <t>выр ОБ</t>
  </si>
  <si>
    <t xml:space="preserve">Дотация </t>
  </si>
  <si>
    <t xml:space="preserve">Ост на </t>
  </si>
  <si>
    <t>нач.года(без цел)</t>
  </si>
  <si>
    <t>Условие</t>
  </si>
  <si>
    <t>Расходы</t>
  </si>
  <si>
    <t>Р</t>
  </si>
  <si>
    <t xml:space="preserve"> ЗП культ</t>
  </si>
  <si>
    <t>зар плата с начисл</t>
  </si>
  <si>
    <t>ЗП омсу</t>
  </si>
  <si>
    <t>выборы</t>
  </si>
  <si>
    <t>Р выб</t>
  </si>
  <si>
    <t>комунальные</t>
  </si>
  <si>
    <t>кред.з-ть</t>
  </si>
  <si>
    <t>Р кред</t>
  </si>
  <si>
    <t>Итого дох</t>
  </si>
  <si>
    <t xml:space="preserve">Большееланское сел.пос. </t>
  </si>
  <si>
    <t xml:space="preserve">Железнодорожное сел.пос. </t>
  </si>
  <si>
    <t>Мальтинское сел.пос.</t>
  </si>
  <si>
    <t>Новожилкинское сел.пос.</t>
  </si>
  <si>
    <t>Новомальтинское сел.пос.</t>
  </si>
  <si>
    <t>Раздольинское сел.пос.</t>
  </si>
  <si>
    <t>Сосновское сел.пос.</t>
  </si>
  <si>
    <t>Тальянское сел.пос.</t>
  </si>
  <si>
    <t xml:space="preserve">Белореченское гор.пос. </t>
  </si>
  <si>
    <t xml:space="preserve">Мишелевское гор.пос. </t>
  </si>
  <si>
    <t>Среднинское гор.пос.</t>
  </si>
  <si>
    <t xml:space="preserve">Тайтурское гор.пос. </t>
  </si>
  <si>
    <t xml:space="preserve">Тельминское гор.пос.  </t>
  </si>
  <si>
    <t>Д+МБТ</t>
  </si>
  <si>
    <t>Дотация  на   сбал</t>
  </si>
  <si>
    <t>Д-Р+Ост&lt;0</t>
  </si>
  <si>
    <t xml:space="preserve"> объм </t>
  </si>
  <si>
    <t>теряют</t>
  </si>
  <si>
    <t>ЕСХН</t>
  </si>
  <si>
    <t>Справочно:</t>
  </si>
  <si>
    <t>утверждено в бюджете НДФЛ по нормативу 10%</t>
  </si>
  <si>
    <t>Мальта</t>
  </si>
  <si>
    <t>Новожилкино</t>
  </si>
  <si>
    <t>Н-Мальтинск</t>
  </si>
  <si>
    <t xml:space="preserve">Тальяны </t>
  </si>
  <si>
    <t>потреб антикризисная</t>
  </si>
  <si>
    <t>условие</t>
  </si>
  <si>
    <t>только те кот попад</t>
  </si>
  <si>
    <t>подлусловие</t>
  </si>
  <si>
    <t>подходят под</t>
  </si>
  <si>
    <t xml:space="preserve">V  МБТ </t>
  </si>
  <si>
    <r>
      <t>С=</t>
    </r>
    <r>
      <rPr>
        <b/>
        <sz val="11"/>
        <color indexed="8"/>
        <rFont val="Calibri"/>
        <family val="2"/>
      </rPr>
      <t>│</t>
    </r>
    <r>
      <rPr>
        <b/>
        <sz val="11"/>
        <color indexed="8"/>
        <rFont val="Calibri"/>
        <family val="2"/>
      </rPr>
      <t>Д-Р+Ост</t>
    </r>
    <r>
      <rPr>
        <b/>
        <sz val="11"/>
        <color indexed="8"/>
        <rFont val="Calibri"/>
        <family val="2"/>
      </rPr>
      <t>│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Calibri"/>
        <family val="2"/>
      </rPr>
      <t>∑│Д-Р+Ост│под  усл*VМБТ</t>
    </r>
  </si>
  <si>
    <t>Р ком (ОМСУ +Культ)</t>
  </si>
  <si>
    <t>прочие расх</t>
  </si>
  <si>
    <t>не ОМСУ</t>
  </si>
  <si>
    <t>взяла 50%</t>
  </si>
  <si>
    <t>финансирование из МР ГП</t>
  </si>
  <si>
    <t>(Предусмотрено в программе МР)</t>
  </si>
  <si>
    <t>софинансир ГП</t>
  </si>
  <si>
    <t>проверка</t>
  </si>
  <si>
    <t>в 2017</t>
  </si>
  <si>
    <t xml:space="preserve"> МБ</t>
  </si>
  <si>
    <t>платные</t>
  </si>
  <si>
    <t>услуги</t>
  </si>
  <si>
    <t>на 01.06.2017</t>
  </si>
  <si>
    <r>
      <t>С=</t>
    </r>
    <r>
      <rPr>
        <b/>
        <sz val="11"/>
        <color indexed="8"/>
        <rFont val="Calibri"/>
        <family val="2"/>
      </rPr>
      <t>│</t>
    </r>
    <r>
      <rPr>
        <b/>
        <sz val="11"/>
        <color indexed="8"/>
        <rFont val="Calibri"/>
        <family val="2"/>
      </rPr>
      <t>Д-Р+Ост</t>
    </r>
    <r>
      <rPr>
        <b/>
        <sz val="11"/>
        <color indexed="8"/>
        <rFont val="Calibri"/>
        <family val="2"/>
      </rPr>
      <t>│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Calibri"/>
        <family val="2"/>
      </rPr>
      <t>∑│Д-Р+Ост│под  усл*VМБТ</t>
    </r>
  </si>
  <si>
    <t>СД</t>
  </si>
  <si>
    <t>НСР</t>
  </si>
  <si>
    <t>НИФЛ</t>
  </si>
  <si>
    <t>Расчет распределения иных межбюджетных трансфертов в форме дотаций на</t>
  </si>
  <si>
    <t>ЗН</t>
  </si>
  <si>
    <t>ГП</t>
  </si>
  <si>
    <t>ПНД</t>
  </si>
  <si>
    <t>АП</t>
  </si>
  <si>
    <t>САИ</t>
  </si>
  <si>
    <t>ПНВ</t>
  </si>
  <si>
    <t>МНЗ</t>
  </si>
  <si>
    <t>ШСУ</t>
  </si>
  <si>
    <t>ПНДД</t>
  </si>
  <si>
    <t>Доходы</t>
  </si>
  <si>
    <t>Остаток</t>
  </si>
  <si>
    <t>ЗП кул</t>
  </si>
  <si>
    <t>Ком.услуги</t>
  </si>
  <si>
    <t>КЗ</t>
  </si>
  <si>
    <t>Субс.</t>
  </si>
  <si>
    <t>эффек</t>
  </si>
  <si>
    <t>Субсидия</t>
  </si>
  <si>
    <t>эффектив</t>
  </si>
  <si>
    <t>поддержку мер по обеспечению сбалансированности местных бюджетов на 2018 год.</t>
  </si>
  <si>
    <t>МБТ 2018</t>
  </si>
  <si>
    <t>ПУ</t>
  </si>
  <si>
    <t>+</t>
  </si>
  <si>
    <t>в том числе</t>
  </si>
  <si>
    <t>РФФП доб</t>
  </si>
  <si>
    <t>Итого</t>
  </si>
  <si>
    <t>нехватка  всего</t>
  </si>
  <si>
    <t>Условие -апрель</t>
  </si>
  <si>
    <t>апрель -изменение</t>
  </si>
  <si>
    <t>ЗП нехв</t>
  </si>
  <si>
    <t>Нехв ЗП</t>
  </si>
  <si>
    <t>Ост на проч</t>
  </si>
  <si>
    <t>Всего</t>
  </si>
  <si>
    <t>коэфф.</t>
  </si>
  <si>
    <t>ОБ</t>
  </si>
  <si>
    <t>РФФП</t>
  </si>
  <si>
    <t>МБ сбал</t>
  </si>
  <si>
    <t>остатки</t>
  </si>
  <si>
    <t>на 01.01.18</t>
  </si>
  <si>
    <t>итого</t>
  </si>
  <si>
    <t xml:space="preserve">  разница с 2017 г</t>
  </si>
  <si>
    <t xml:space="preserve">Расходы </t>
  </si>
  <si>
    <t>антикризисная</t>
  </si>
  <si>
    <t>без акц.и субвенц.</t>
  </si>
  <si>
    <t>акцизы</t>
  </si>
  <si>
    <t>субвенции</t>
  </si>
  <si>
    <t>целевые</t>
  </si>
  <si>
    <t>30% проч</t>
  </si>
  <si>
    <t>35 % проч</t>
  </si>
  <si>
    <t>40% проч</t>
  </si>
  <si>
    <t>на 01.01.2018</t>
  </si>
  <si>
    <t>Ост</t>
  </si>
  <si>
    <r>
      <t>С</t>
    </r>
    <r>
      <rPr>
        <vertAlign val="superscript"/>
        <sz val="11"/>
        <color indexed="8"/>
        <rFont val="Calibri"/>
        <family val="2"/>
      </rPr>
      <t>эф</t>
    </r>
  </si>
  <si>
    <r>
      <t>Д</t>
    </r>
    <r>
      <rPr>
        <vertAlign val="superscript"/>
        <sz val="11"/>
        <color indexed="8"/>
        <rFont val="Calibri"/>
        <family val="2"/>
      </rPr>
      <t>вырОБ</t>
    </r>
  </si>
  <si>
    <r>
      <t>Д</t>
    </r>
    <r>
      <rPr>
        <vertAlign val="superscript"/>
        <sz val="11"/>
        <color indexed="8"/>
        <rFont val="Calibri"/>
        <family val="2"/>
      </rPr>
      <t>вырМБ</t>
    </r>
  </si>
  <si>
    <r>
      <t xml:space="preserve">МБТ </t>
    </r>
    <r>
      <rPr>
        <vertAlign val="superscript"/>
        <sz val="11"/>
        <color indexed="8"/>
        <rFont val="Calibri"/>
        <family val="2"/>
      </rPr>
      <t>2018</t>
    </r>
  </si>
  <si>
    <r>
      <t>Р</t>
    </r>
    <r>
      <rPr>
        <vertAlign val="superscript"/>
        <sz val="11"/>
        <color indexed="8"/>
        <rFont val="Calibri"/>
        <family val="2"/>
      </rPr>
      <t>цел</t>
    </r>
  </si>
  <si>
    <r>
      <t>ЗП</t>
    </r>
    <r>
      <rPr>
        <vertAlign val="superscript"/>
        <sz val="11"/>
        <color indexed="8"/>
        <rFont val="Calibri"/>
        <family val="2"/>
      </rPr>
      <t xml:space="preserve"> кул</t>
    </r>
  </si>
  <si>
    <r>
      <t>ЗП</t>
    </r>
    <r>
      <rPr>
        <vertAlign val="superscript"/>
        <sz val="11"/>
        <color indexed="8"/>
        <rFont val="Calibri"/>
        <family val="2"/>
      </rPr>
      <t>омсу</t>
    </r>
  </si>
  <si>
    <r>
      <t xml:space="preserve">Р </t>
    </r>
    <r>
      <rPr>
        <vertAlign val="superscript"/>
        <sz val="11"/>
        <color indexed="8"/>
        <rFont val="Calibri"/>
        <family val="2"/>
      </rPr>
      <t>ком.усл</t>
    </r>
  </si>
  <si>
    <r>
      <t>Р</t>
    </r>
    <r>
      <rPr>
        <vertAlign val="superscript"/>
        <sz val="11"/>
        <color indexed="8"/>
        <rFont val="Calibri"/>
        <family val="2"/>
      </rPr>
      <t>КЗ</t>
    </r>
  </si>
  <si>
    <r>
      <t>Р</t>
    </r>
    <r>
      <rPr>
        <vertAlign val="superscript"/>
        <sz val="11"/>
        <color indexed="8"/>
        <rFont val="Calibri"/>
        <family val="2"/>
      </rPr>
      <t>ДФ</t>
    </r>
  </si>
  <si>
    <r>
      <t>Р</t>
    </r>
    <r>
      <rPr>
        <vertAlign val="superscript"/>
        <sz val="11"/>
        <color indexed="8"/>
        <rFont val="Calibri"/>
        <family val="2"/>
      </rPr>
      <t>проч</t>
    </r>
  </si>
  <si>
    <t>Расчет</t>
  </si>
  <si>
    <t>С</t>
  </si>
  <si>
    <t>РФФП изм.</t>
  </si>
  <si>
    <t>РФФП   итого</t>
  </si>
  <si>
    <t>РФФП перв.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</si>
</sst>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10"/>
      <name val="Calibri"/>
      <family val="2"/>
    </font>
    <font>
      <u val="single"/>
      <sz val="11"/>
      <color indexed="9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10" borderId="12" xfId="0" applyNumberFormat="1" applyFont="1" applyFill="1" applyBorder="1" applyAlignment="1" applyProtection="1">
      <alignment horizontal="left" wrapText="1"/>
      <protection/>
    </xf>
    <xf numFmtId="0" fontId="5" fillId="34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6" fillId="1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0" fillId="0" borderId="11" xfId="42" applyBorder="1" applyAlignment="1" applyProtection="1">
      <alignment/>
      <protection/>
    </xf>
    <xf numFmtId="0" fontId="3" fillId="35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30" fillId="32" borderId="11" xfId="42" applyFill="1" applyBorder="1" applyAlignment="1" applyProtection="1">
      <alignment/>
      <protection/>
    </xf>
    <xf numFmtId="0" fontId="2" fillId="3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9" fontId="0" fillId="0" borderId="0" xfId="0" applyNumberFormat="1" applyAlignment="1">
      <alignment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8" fillId="0" borderId="11" xfId="42" applyFont="1" applyBorder="1" applyAlignment="1" applyProtection="1">
      <alignment/>
      <protection/>
    </xf>
    <xf numFmtId="2" fontId="7" fillId="0" borderId="12" xfId="0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0" borderId="12" xfId="0" applyFill="1" applyBorder="1" applyAlignment="1" applyProtection="1">
      <alignment/>
      <protection hidden="1"/>
    </xf>
    <xf numFmtId="0" fontId="30" fillId="0" borderId="11" xfId="42" applyFill="1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36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5" fillId="38" borderId="12" xfId="0" applyNumberFormat="1" applyFont="1" applyFill="1" applyBorder="1" applyAlignment="1" applyProtection="1">
      <alignment horizontal="left" wrapText="1"/>
      <protection/>
    </xf>
    <xf numFmtId="0" fontId="0" fillId="38" borderId="12" xfId="0" applyFill="1" applyBorder="1" applyAlignment="1" applyProtection="1">
      <alignment/>
      <protection hidden="1"/>
    </xf>
    <xf numFmtId="2" fontId="0" fillId="38" borderId="11" xfId="0" applyNumberFormat="1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38" borderId="16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38" borderId="15" xfId="0" applyFill="1" applyBorder="1" applyAlignment="1" applyProtection="1">
      <alignment/>
      <protection hidden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1" xfId="0" applyFill="1" applyBorder="1" applyAlignment="1" applyProtection="1">
      <alignment/>
      <protection hidden="1"/>
    </xf>
    <xf numFmtId="0" fontId="0" fillId="38" borderId="21" xfId="0" applyFill="1" applyBorder="1" applyAlignment="1" applyProtection="1">
      <alignment/>
      <protection hidden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7" borderId="13" xfId="0" applyFill="1" applyBorder="1" applyAlignment="1" applyProtection="1">
      <alignment/>
      <protection hidden="1"/>
    </xf>
    <xf numFmtId="0" fontId="34" fillId="0" borderId="28" xfId="0" applyFont="1" applyFill="1" applyBorder="1" applyAlignment="1" applyProtection="1">
      <alignment/>
      <protection hidden="1"/>
    </xf>
    <xf numFmtId="2" fontId="0" fillId="0" borderId="12" xfId="0" applyNumberFormat="1" applyBorder="1" applyAlignment="1">
      <alignment/>
    </xf>
    <xf numFmtId="2" fontId="34" fillId="0" borderId="11" xfId="0" applyNumberFormat="1" applyFont="1" applyFill="1" applyBorder="1" applyAlignment="1" applyProtection="1">
      <alignment/>
      <protection hidden="1"/>
    </xf>
    <xf numFmtId="2" fontId="34" fillId="0" borderId="12" xfId="0" applyNumberFormat="1" applyFont="1" applyFill="1" applyBorder="1" applyAlignment="1" applyProtection="1">
      <alignment/>
      <protection hidden="1"/>
    </xf>
    <xf numFmtId="2" fontId="34" fillId="0" borderId="12" xfId="0" applyNumberFormat="1" applyFont="1" applyBorder="1" applyAlignment="1">
      <alignment/>
    </xf>
    <xf numFmtId="0" fontId="3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37" borderId="12" xfId="0" applyFill="1" applyBorder="1" applyAlignment="1">
      <alignment/>
    </xf>
    <xf numFmtId="0" fontId="0" fillId="37" borderId="12" xfId="0" applyFont="1" applyFill="1" applyBorder="1" applyAlignment="1">
      <alignment/>
    </xf>
    <xf numFmtId="0" fontId="34" fillId="37" borderId="12" xfId="0" applyFont="1" applyFill="1" applyBorder="1" applyAlignment="1">
      <alignment/>
    </xf>
    <xf numFmtId="2" fontId="0" fillId="37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9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43" fillId="0" borderId="0" xfId="0" applyNumberFormat="1" applyFont="1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2" fontId="43" fillId="0" borderId="0" xfId="0" applyNumberFormat="1" applyFont="1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3" fillId="0" borderId="12" xfId="0" applyFont="1" applyBorder="1" applyAlignment="1" applyProtection="1">
      <alignment/>
      <protection hidden="1"/>
    </xf>
    <xf numFmtId="0" fontId="41" fillId="0" borderId="0" xfId="0" applyFont="1" applyAlignment="1">
      <alignment/>
    </xf>
    <xf numFmtId="0" fontId="43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2" xfId="0" applyFont="1" applyFill="1" applyBorder="1" applyAlignment="1">
      <alignment/>
    </xf>
    <xf numFmtId="2" fontId="34" fillId="37" borderId="12" xfId="0" applyNumberFormat="1" applyFont="1" applyFill="1" applyBorder="1" applyAlignment="1">
      <alignment/>
    </xf>
    <xf numFmtId="0" fontId="34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2" fontId="0" fillId="39" borderId="12" xfId="0" applyNumberFormat="1" applyFill="1" applyBorder="1" applyAlignment="1">
      <alignment/>
    </xf>
    <xf numFmtId="9" fontId="34" fillId="0" borderId="12" xfId="0" applyNumberFormat="1" applyFont="1" applyBorder="1" applyAlignment="1">
      <alignment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Fill="1" applyBorder="1" applyAlignment="1" applyProtection="1">
      <alignment/>
      <protection hidden="1"/>
    </xf>
    <xf numFmtId="0" fontId="0" fillId="38" borderId="32" xfId="0" applyFill="1" applyBorder="1" applyAlignment="1" applyProtection="1">
      <alignment/>
      <protection hidden="1"/>
    </xf>
    <xf numFmtId="0" fontId="3" fillId="0" borderId="33" xfId="0" applyFont="1" applyFill="1" applyBorder="1" applyAlignment="1" applyProtection="1">
      <alignment/>
      <protection hidden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 applyProtection="1">
      <alignment/>
      <protection hidden="1"/>
    </xf>
    <xf numFmtId="1" fontId="0" fillId="0" borderId="12" xfId="0" applyNumberForma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0" fillId="0" borderId="16" xfId="0" applyBorder="1" applyAlignment="1">
      <alignment/>
    </xf>
    <xf numFmtId="9" fontId="0" fillId="0" borderId="12" xfId="0" applyNumberFormat="1" applyBorder="1" applyAlignment="1">
      <alignment/>
    </xf>
    <xf numFmtId="0" fontId="34" fillId="36" borderId="12" xfId="0" applyFont="1" applyFill="1" applyBorder="1" applyAlignment="1">
      <alignment/>
    </xf>
    <xf numFmtId="2" fontId="34" fillId="36" borderId="12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9" borderId="12" xfId="0" applyFont="1" applyFill="1" applyBorder="1" applyAlignment="1">
      <alignment/>
    </xf>
    <xf numFmtId="0" fontId="34" fillId="39" borderId="12" xfId="0" applyFont="1" applyFill="1" applyBorder="1" applyAlignment="1">
      <alignment wrapText="1"/>
    </xf>
    <xf numFmtId="0" fontId="34" fillId="37" borderId="12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37" borderId="29" xfId="0" applyFont="1" applyFill="1" applyBorder="1" applyAlignment="1">
      <alignment/>
    </xf>
    <xf numFmtId="0" fontId="0" fillId="36" borderId="29" xfId="0" applyFill="1" applyBorder="1" applyAlignment="1">
      <alignment/>
    </xf>
    <xf numFmtId="0" fontId="3" fillId="0" borderId="29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38" xfId="0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1" fontId="35" fillId="0" borderId="0" xfId="0" applyNumberFormat="1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0" fontId="44" fillId="0" borderId="11" xfId="42" applyFont="1" applyFill="1" applyBorder="1" applyAlignment="1" applyProtection="1">
      <alignment/>
      <protection hidden="1"/>
    </xf>
    <xf numFmtId="9" fontId="0" fillId="0" borderId="14" xfId="0" applyNumberFormat="1" applyFill="1" applyBorder="1" applyAlignment="1" applyProtection="1">
      <alignment/>
      <protection hidden="1"/>
    </xf>
    <xf numFmtId="1" fontId="0" fillId="0" borderId="14" xfId="0" applyNumberFormat="1" applyFill="1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21</xdr:row>
      <xdr:rowOff>28575</xdr:rowOff>
    </xdr:from>
    <xdr:to>
      <xdr:col>34</xdr:col>
      <xdr:colOff>0</xdr:colOff>
      <xdr:row>23</xdr:row>
      <xdr:rowOff>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13211175" y="7381875"/>
          <a:ext cx="5486400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24</xdr:row>
      <xdr:rowOff>28575</xdr:rowOff>
    </xdr:from>
    <xdr:to>
      <xdr:col>39</xdr:col>
      <xdr:colOff>0</xdr:colOff>
      <xdr:row>26</xdr:row>
      <xdr:rowOff>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13620750" y="10953750"/>
          <a:ext cx="7343775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24</xdr:row>
      <xdr:rowOff>28575</xdr:rowOff>
    </xdr:from>
    <xdr:to>
      <xdr:col>39</xdr:col>
      <xdr:colOff>0</xdr:colOff>
      <xdr:row>26</xdr:row>
      <xdr:rowOff>0</xdr:rowOff>
    </xdr:to>
    <xdr:sp>
      <xdr:nvSpPr>
        <xdr:cNvPr id="1" name="Прямая со стрелкой 1"/>
        <xdr:cNvSpPr>
          <a:spLocks/>
        </xdr:cNvSpPr>
      </xdr:nvSpPr>
      <xdr:spPr>
        <a:xfrm flipV="1">
          <a:off x="13620750" y="10953750"/>
          <a:ext cx="7343775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24</xdr:row>
      <xdr:rowOff>28575</xdr:rowOff>
    </xdr:from>
    <xdr:to>
      <xdr:col>39</xdr:col>
      <xdr:colOff>0</xdr:colOff>
      <xdr:row>26</xdr:row>
      <xdr:rowOff>0</xdr:rowOff>
    </xdr:to>
    <xdr:sp>
      <xdr:nvSpPr>
        <xdr:cNvPr id="1" name="Прямая со стрелкой 1"/>
        <xdr:cNvSpPr>
          <a:spLocks/>
        </xdr:cNvSpPr>
      </xdr:nvSpPr>
      <xdr:spPr>
        <a:xfrm flipV="1">
          <a:off x="13620750" y="10953750"/>
          <a:ext cx="7343775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1"/>
  <sheetViews>
    <sheetView zoomScalePageLayoutView="0" workbookViewId="0" topLeftCell="A4">
      <pane xSplit="2" ySplit="4" topLeftCell="M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T12" sqref="T12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8.421875" style="0" customWidth="1"/>
    <col min="4" max="4" width="7.28125" style="0" customWidth="1"/>
    <col min="5" max="5" width="6.57421875" style="0" customWidth="1"/>
    <col min="6" max="6" width="5.7109375" style="0" customWidth="1"/>
    <col min="7" max="7" width="4.7109375" style="0" customWidth="1"/>
    <col min="8" max="8" width="6.57421875" style="0" customWidth="1"/>
    <col min="9" max="9" width="5.28125" style="0" customWidth="1"/>
    <col min="10" max="10" width="7.421875" style="0" customWidth="1"/>
    <col min="11" max="11" width="6.7109375" style="0" customWidth="1"/>
    <col min="12" max="12" width="4.57421875" style="0" customWidth="1"/>
    <col min="13" max="13" width="8.28125" style="0" customWidth="1"/>
    <col min="14" max="14" width="11.8515625" style="0" customWidth="1"/>
    <col min="15" max="15" width="11.421875" style="0" customWidth="1"/>
    <col min="16" max="16" width="6.28125" style="0" customWidth="1"/>
    <col min="17" max="17" width="7.421875" style="0" customWidth="1"/>
    <col min="18" max="18" width="13.00390625" style="0" customWidth="1"/>
    <col min="19" max="19" width="9.57421875" style="0" customWidth="1"/>
    <col min="20" max="20" width="8.421875" style="0" customWidth="1"/>
    <col min="21" max="21" width="9.28125" style="0" customWidth="1"/>
    <col min="22" max="22" width="10.8515625" style="0" customWidth="1"/>
    <col min="23" max="23" width="10.421875" style="0" customWidth="1"/>
    <col min="25" max="25" width="7.57421875" style="0" customWidth="1"/>
    <col min="26" max="26" width="6.7109375" style="0" customWidth="1"/>
    <col min="27" max="27" width="6.421875" style="0" customWidth="1"/>
    <col min="28" max="28" width="6.7109375" style="0" customWidth="1"/>
    <col min="29" max="29" width="11.00390625" style="0" customWidth="1"/>
    <col min="30" max="30" width="6.57421875" style="0" customWidth="1"/>
    <col min="31" max="31" width="6.140625" style="0" customWidth="1"/>
    <col min="32" max="32" width="6.57421875" style="0" customWidth="1"/>
    <col min="34" max="34" width="9.00390625" style="0" customWidth="1"/>
    <col min="35" max="35" width="12.00390625" style="0" customWidth="1"/>
    <col min="36" max="36" width="7.28125" style="0" customWidth="1"/>
  </cols>
  <sheetData>
    <row r="2" spans="5:13" ht="18.75"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5:13" ht="18.75">
      <c r="E3" s="1" t="s">
        <v>0</v>
      </c>
      <c r="F3" s="1"/>
      <c r="G3" s="1"/>
      <c r="H3" s="1"/>
      <c r="I3" s="1"/>
      <c r="J3" s="1"/>
      <c r="K3" s="1"/>
      <c r="L3" s="1"/>
      <c r="M3" s="1"/>
    </row>
    <row r="4" spans="5:13" ht="8.25" customHeight="1" hidden="1">
      <c r="E4" s="1"/>
      <c r="F4" s="1"/>
      <c r="G4" s="1"/>
      <c r="H4" s="1"/>
      <c r="I4" s="1"/>
      <c r="J4" s="1"/>
      <c r="K4" s="1"/>
      <c r="L4" s="1"/>
      <c r="M4" s="1"/>
    </row>
    <row r="5" spans="22:32" ht="15">
      <c r="V5" t="s">
        <v>53</v>
      </c>
      <c r="Y5" t="s">
        <v>65</v>
      </c>
      <c r="AC5" t="s">
        <v>84</v>
      </c>
      <c r="AF5" s="33" t="s">
        <v>75</v>
      </c>
    </row>
    <row r="6" spans="1:36" ht="52.5" customHeight="1">
      <c r="A6" s="2" t="s">
        <v>2</v>
      </c>
      <c r="B6" s="2" t="s">
        <v>3</v>
      </c>
      <c r="C6" s="4" t="s">
        <v>4</v>
      </c>
      <c r="D6" s="6" t="s">
        <v>6</v>
      </c>
      <c r="E6" s="6" t="s">
        <v>8</v>
      </c>
      <c r="F6" s="6" t="s">
        <v>58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14</v>
      </c>
      <c r="L6" s="6" t="s">
        <v>16</v>
      </c>
      <c r="M6" s="6" t="s">
        <v>17</v>
      </c>
      <c r="N6" s="6" t="s">
        <v>82</v>
      </c>
      <c r="O6" s="6" t="s">
        <v>18</v>
      </c>
      <c r="P6" s="6" t="s">
        <v>20</v>
      </c>
      <c r="Q6" s="6" t="s">
        <v>12</v>
      </c>
      <c r="R6" s="8" t="s">
        <v>22</v>
      </c>
      <c r="S6" s="40" t="s">
        <v>106</v>
      </c>
      <c r="T6" s="6" t="s">
        <v>23</v>
      </c>
      <c r="U6" s="6" t="s">
        <v>25</v>
      </c>
      <c r="V6" s="8" t="s">
        <v>39</v>
      </c>
      <c r="W6" s="8" t="s">
        <v>26</v>
      </c>
      <c r="X6" s="4" t="s">
        <v>29</v>
      </c>
      <c r="Y6" s="6" t="s">
        <v>32</v>
      </c>
      <c r="Z6" s="6" t="s">
        <v>32</v>
      </c>
      <c r="AA6" s="6" t="s">
        <v>34</v>
      </c>
      <c r="AB6" s="36" t="s">
        <v>36</v>
      </c>
      <c r="AC6" s="6" t="s">
        <v>37</v>
      </c>
      <c r="AD6" s="145" t="s">
        <v>78</v>
      </c>
      <c r="AE6" s="34" t="s">
        <v>76</v>
      </c>
      <c r="AF6" s="31" t="s">
        <v>73</v>
      </c>
      <c r="AG6" s="20" t="s">
        <v>28</v>
      </c>
      <c r="AH6" s="20" t="s">
        <v>69</v>
      </c>
      <c r="AI6" s="19" t="s">
        <v>54</v>
      </c>
      <c r="AJ6" s="22" t="s">
        <v>57</v>
      </c>
    </row>
    <row r="7" spans="1:36" ht="28.5" customHeight="1">
      <c r="A7" s="3"/>
      <c r="B7" s="3"/>
      <c r="C7" s="5" t="s">
        <v>21</v>
      </c>
      <c r="D7" s="7" t="s">
        <v>7</v>
      </c>
      <c r="E7" s="7"/>
      <c r="F7" s="7"/>
      <c r="G7" s="7"/>
      <c r="H7" s="7"/>
      <c r="I7" s="7"/>
      <c r="J7" s="7" t="s">
        <v>13</v>
      </c>
      <c r="K7" s="7" t="s">
        <v>15</v>
      </c>
      <c r="L7" s="7"/>
      <c r="M7" s="7"/>
      <c r="N7" s="7" t="s">
        <v>83</v>
      </c>
      <c r="O7" s="7" t="s">
        <v>19</v>
      </c>
      <c r="P7" s="7"/>
      <c r="Q7" s="7"/>
      <c r="R7" s="9"/>
      <c r="S7" s="53" t="s">
        <v>107</v>
      </c>
      <c r="T7" s="7" t="s">
        <v>24</v>
      </c>
      <c r="U7" s="7" t="s">
        <v>81</v>
      </c>
      <c r="V7" s="9" t="s">
        <v>5</v>
      </c>
      <c r="W7" s="9" t="s">
        <v>27</v>
      </c>
      <c r="X7" s="5" t="s">
        <v>30</v>
      </c>
      <c r="Y7" s="7" t="s">
        <v>31</v>
      </c>
      <c r="Z7" s="7" t="s">
        <v>33</v>
      </c>
      <c r="AA7" s="7" t="s">
        <v>35</v>
      </c>
      <c r="AB7" s="37" t="s">
        <v>72</v>
      </c>
      <c r="AC7" s="7" t="s">
        <v>38</v>
      </c>
      <c r="AD7" s="146"/>
      <c r="AE7" s="35" t="s">
        <v>77</v>
      </c>
      <c r="AF7" s="32" t="s">
        <v>74</v>
      </c>
      <c r="AG7" s="21" t="s">
        <v>55</v>
      </c>
      <c r="AH7" s="21" t="s">
        <v>66</v>
      </c>
      <c r="AI7" s="30" t="s">
        <v>71</v>
      </c>
      <c r="AJ7" s="22" t="s">
        <v>80</v>
      </c>
    </row>
    <row r="8" spans="1:36" ht="31.5">
      <c r="A8" s="12">
        <v>1</v>
      </c>
      <c r="B8" s="10" t="s">
        <v>40</v>
      </c>
      <c r="C8" s="25">
        <f>D8+K8</f>
        <v>3470.6</v>
      </c>
      <c r="D8" s="25">
        <f>E8+F8+G8+H8+I8+J8</f>
        <v>3351</v>
      </c>
      <c r="E8" s="25">
        <v>1181</v>
      </c>
      <c r="F8" s="25">
        <v>250</v>
      </c>
      <c r="G8" s="25">
        <v>120</v>
      </c>
      <c r="H8" s="25">
        <v>1740</v>
      </c>
      <c r="I8" s="25">
        <v>60</v>
      </c>
      <c r="J8" s="25">
        <v>0</v>
      </c>
      <c r="K8" s="25">
        <f>L8+M8+N8+O8+P8+Q8</f>
        <v>119.6</v>
      </c>
      <c r="L8" s="25">
        <v>0</v>
      </c>
      <c r="M8" s="25">
        <v>101.6</v>
      </c>
      <c r="N8" s="25">
        <v>0</v>
      </c>
      <c r="O8" s="25">
        <v>0</v>
      </c>
      <c r="P8" s="25">
        <v>18</v>
      </c>
      <c r="Q8" s="25">
        <v>0</v>
      </c>
      <c r="R8" s="25">
        <f>T8+U8+S8</f>
        <v>4581.16</v>
      </c>
      <c r="S8" s="25"/>
      <c r="T8" s="25">
        <v>0</v>
      </c>
      <c r="U8" s="25">
        <v>4581.16</v>
      </c>
      <c r="V8" s="25">
        <f>C8+R8</f>
        <v>8051.76</v>
      </c>
      <c r="W8" s="25">
        <v>425</v>
      </c>
      <c r="X8" s="25">
        <f>Y8+Z8+AA8+AB8+AC8+AD8+AF8-AE8</f>
        <v>9325</v>
      </c>
      <c r="Y8" s="25">
        <f>2496+804</f>
        <v>3300</v>
      </c>
      <c r="Z8" s="25">
        <v>4211</v>
      </c>
      <c r="AA8" s="25">
        <v>350</v>
      </c>
      <c r="AB8" s="25">
        <f>280+538</f>
        <v>818</v>
      </c>
      <c r="AC8" s="25"/>
      <c r="AD8" s="25">
        <v>246</v>
      </c>
      <c r="AE8" s="25"/>
      <c r="AF8" s="25">
        <f>800/2</f>
        <v>400</v>
      </c>
      <c r="AG8" s="25">
        <f aca="true" t="shared" si="0" ref="AG8:AG20">V8-X8+W8</f>
        <v>-848.2399999999998</v>
      </c>
      <c r="AH8" s="26">
        <f>IF(AG8&lt;0,AG8)</f>
        <v>-848.2399999999998</v>
      </c>
      <c r="AI8" s="7">
        <f>AH8/W23*T25</f>
        <v>1895.8374440376895</v>
      </c>
      <c r="AJ8" s="25"/>
    </row>
    <row r="9" spans="1:36" ht="31.5">
      <c r="A9" s="18">
        <v>2</v>
      </c>
      <c r="B9" s="10" t="s">
        <v>41</v>
      </c>
      <c r="C9" s="12">
        <f aca="true" t="shared" si="1" ref="C9:C20">D9+K9</f>
        <v>8212.8</v>
      </c>
      <c r="D9" s="12">
        <f aca="true" t="shared" si="2" ref="D9:D20">E9+F9+G9+H9+I9+J9</f>
        <v>8122.799999999999</v>
      </c>
      <c r="E9" s="29">
        <v>2652.9</v>
      </c>
      <c r="F9" s="12">
        <v>1593.5</v>
      </c>
      <c r="G9" s="12">
        <v>336.4</v>
      </c>
      <c r="H9" s="12">
        <v>3520</v>
      </c>
      <c r="I9" s="12">
        <v>20</v>
      </c>
      <c r="J9" s="12">
        <v>0</v>
      </c>
      <c r="K9" s="13">
        <f>L9+M9+N9+O9+P9+Q9</f>
        <v>90</v>
      </c>
      <c r="L9" s="12">
        <v>20</v>
      </c>
      <c r="M9" s="12">
        <v>30</v>
      </c>
      <c r="N9" s="12">
        <v>20</v>
      </c>
      <c r="O9" s="12">
        <v>0</v>
      </c>
      <c r="P9" s="12">
        <v>20</v>
      </c>
      <c r="Q9" s="12">
        <v>0</v>
      </c>
      <c r="R9" s="25">
        <f aca="true" t="shared" si="3" ref="R9:R20">T9+U9+S9</f>
        <v>2625.39</v>
      </c>
      <c r="S9" s="12"/>
      <c r="T9" s="12">
        <v>0</v>
      </c>
      <c r="U9" s="12">
        <v>2625.39</v>
      </c>
      <c r="V9" s="12">
        <f aca="true" t="shared" si="4" ref="V9:V20">C9+R9</f>
        <v>10838.189999999999</v>
      </c>
      <c r="W9" s="12">
        <v>1317</v>
      </c>
      <c r="X9" s="25">
        <f aca="true" t="shared" si="5" ref="X9:X20">Y9+Z9+AA9+AB9+AC9+AD9+AF9-AE9</f>
        <v>11021</v>
      </c>
      <c r="Y9" s="12">
        <v>2686</v>
      </c>
      <c r="Z9" s="12">
        <f>4110+1164</f>
        <v>5274</v>
      </c>
      <c r="AA9" s="12">
        <v>371</v>
      </c>
      <c r="AB9" s="12">
        <f>155+374</f>
        <v>529</v>
      </c>
      <c r="AC9" s="12">
        <v>0</v>
      </c>
      <c r="AD9" s="12">
        <v>970</v>
      </c>
      <c r="AE9" s="12">
        <v>240</v>
      </c>
      <c r="AF9" s="12">
        <f>2862/2</f>
        <v>1431</v>
      </c>
      <c r="AG9" s="12">
        <f t="shared" si="0"/>
        <v>1134.1899999999987</v>
      </c>
      <c r="AH9" s="23"/>
      <c r="AI9" s="7">
        <f>AH9/W23*T25</f>
        <v>0</v>
      </c>
      <c r="AJ9" s="15">
        <v>3037</v>
      </c>
    </row>
    <row r="10" spans="1:36" ht="31.5">
      <c r="A10" s="18">
        <v>3</v>
      </c>
      <c r="B10" s="10" t="s">
        <v>42</v>
      </c>
      <c r="C10" s="12">
        <f t="shared" si="1"/>
        <v>4596</v>
      </c>
      <c r="D10" s="12">
        <f t="shared" si="2"/>
        <v>3729</v>
      </c>
      <c r="E10" s="29">
        <v>1838</v>
      </c>
      <c r="F10" s="12">
        <v>20</v>
      </c>
      <c r="G10" s="12">
        <v>250</v>
      </c>
      <c r="H10" s="12">
        <v>1570</v>
      </c>
      <c r="I10" s="12">
        <v>50</v>
      </c>
      <c r="J10" s="12">
        <v>1</v>
      </c>
      <c r="K10" s="12">
        <f aca="true" t="shared" si="6" ref="K10:K20">L10+M10+N10+O10+P10+Q10</f>
        <v>867</v>
      </c>
      <c r="L10" s="12">
        <v>0</v>
      </c>
      <c r="M10" s="12">
        <v>460</v>
      </c>
      <c r="N10" s="12">
        <v>13</v>
      </c>
      <c r="O10" s="12">
        <v>350</v>
      </c>
      <c r="P10" s="12">
        <v>34</v>
      </c>
      <c r="Q10" s="12">
        <v>10</v>
      </c>
      <c r="R10" s="25">
        <f t="shared" si="3"/>
        <v>6537.8</v>
      </c>
      <c r="S10" s="12">
        <v>250</v>
      </c>
      <c r="T10" s="12">
        <v>0</v>
      </c>
      <c r="U10" s="12">
        <v>6287.8</v>
      </c>
      <c r="V10" s="12">
        <f t="shared" si="4"/>
        <v>11133.8</v>
      </c>
      <c r="W10" s="12">
        <v>307</v>
      </c>
      <c r="X10" s="25">
        <f t="shared" si="5"/>
        <v>10584.5</v>
      </c>
      <c r="Y10" s="12">
        <v>3307</v>
      </c>
      <c r="Z10" s="12">
        <f>3804+1296</f>
        <v>5100</v>
      </c>
      <c r="AA10" s="12">
        <v>0</v>
      </c>
      <c r="AB10" s="12">
        <f>574+500</f>
        <v>1074</v>
      </c>
      <c r="AC10" s="12">
        <v>0</v>
      </c>
      <c r="AD10" s="12">
        <v>204</v>
      </c>
      <c r="AE10" s="12"/>
      <c r="AF10" s="12">
        <f>1799/2</f>
        <v>899.5</v>
      </c>
      <c r="AG10" s="12">
        <f t="shared" si="0"/>
        <v>856.2999999999993</v>
      </c>
      <c r="AH10" s="38" t="b">
        <f aca="true" t="shared" si="7" ref="AH10:AH20">IF(AG10&lt;0,AG10)</f>
        <v>0</v>
      </c>
      <c r="AI10" s="7">
        <f>AH10/W23*T25</f>
        <v>0</v>
      </c>
      <c r="AJ10" s="15">
        <v>1763</v>
      </c>
    </row>
    <row r="11" spans="1:36" ht="31.5">
      <c r="A11" s="18">
        <v>4</v>
      </c>
      <c r="B11" s="10" t="s">
        <v>43</v>
      </c>
      <c r="C11" s="25">
        <f t="shared" si="1"/>
        <v>1816</v>
      </c>
      <c r="D11" s="25">
        <f t="shared" si="2"/>
        <v>1746</v>
      </c>
      <c r="E11" s="25">
        <v>393</v>
      </c>
      <c r="F11" s="25">
        <v>0</v>
      </c>
      <c r="G11" s="25">
        <v>100</v>
      </c>
      <c r="H11" s="25">
        <v>1217</v>
      </c>
      <c r="I11" s="25">
        <v>36</v>
      </c>
      <c r="J11" s="25">
        <v>0</v>
      </c>
      <c r="K11" s="25">
        <f t="shared" si="6"/>
        <v>70</v>
      </c>
      <c r="L11" s="25">
        <v>0</v>
      </c>
      <c r="M11" s="25">
        <v>0</v>
      </c>
      <c r="N11" s="25">
        <v>0</v>
      </c>
      <c r="O11" s="25">
        <v>50</v>
      </c>
      <c r="P11" s="25">
        <v>20</v>
      </c>
      <c r="Q11" s="25">
        <v>0</v>
      </c>
      <c r="R11" s="25">
        <f t="shared" si="3"/>
        <v>9292.76</v>
      </c>
      <c r="S11" s="25">
        <v>175</v>
      </c>
      <c r="T11" s="25">
        <v>251.5</v>
      </c>
      <c r="U11" s="25">
        <v>8866.26</v>
      </c>
      <c r="V11" s="25">
        <f t="shared" si="4"/>
        <v>11108.76</v>
      </c>
      <c r="W11" s="25">
        <v>52</v>
      </c>
      <c r="X11" s="25">
        <f t="shared" si="5"/>
        <v>12193.43</v>
      </c>
      <c r="Y11" s="25">
        <f>2964+953</f>
        <v>3917</v>
      </c>
      <c r="Z11" s="25">
        <f>3693+1115</f>
        <v>4808</v>
      </c>
      <c r="AA11" s="25">
        <v>338</v>
      </c>
      <c r="AB11" s="25">
        <f>227+1238</f>
        <v>1465</v>
      </c>
      <c r="AC11" s="25">
        <v>142.43</v>
      </c>
      <c r="AD11" s="25">
        <v>140</v>
      </c>
      <c r="AE11" s="25"/>
      <c r="AF11" s="25">
        <f>2766/2</f>
        <v>1383</v>
      </c>
      <c r="AG11" s="25">
        <f t="shared" si="0"/>
        <v>-1032.67</v>
      </c>
      <c r="AH11" s="26">
        <f t="shared" si="7"/>
        <v>-1032.67</v>
      </c>
      <c r="AI11" s="7">
        <f>AH11/W23*T25</f>
        <v>2308.0430695727637</v>
      </c>
      <c r="AJ11" s="27">
        <v>1000</v>
      </c>
    </row>
    <row r="12" spans="1:36" ht="31.5">
      <c r="A12" s="18">
        <v>5</v>
      </c>
      <c r="B12" s="10" t="s">
        <v>44</v>
      </c>
      <c r="C12" s="25">
        <f t="shared" si="1"/>
        <v>1787.2</v>
      </c>
      <c r="D12" s="25">
        <f t="shared" si="2"/>
        <v>1306.2</v>
      </c>
      <c r="E12" s="25">
        <v>450</v>
      </c>
      <c r="F12" s="25">
        <v>25</v>
      </c>
      <c r="G12" s="25">
        <v>100</v>
      </c>
      <c r="H12" s="25">
        <v>700</v>
      </c>
      <c r="I12" s="25">
        <v>30.2</v>
      </c>
      <c r="J12" s="25">
        <v>1</v>
      </c>
      <c r="K12" s="25">
        <f t="shared" si="6"/>
        <v>481</v>
      </c>
      <c r="L12" s="25">
        <v>20</v>
      </c>
      <c r="M12" s="25">
        <v>380</v>
      </c>
      <c r="N12" s="25">
        <v>25</v>
      </c>
      <c r="O12" s="25">
        <v>0</v>
      </c>
      <c r="P12" s="25">
        <v>6</v>
      </c>
      <c r="Q12" s="25">
        <v>50</v>
      </c>
      <c r="R12" s="25">
        <f t="shared" si="3"/>
        <v>6129.44</v>
      </c>
      <c r="S12" s="25"/>
      <c r="T12" s="25">
        <v>0</v>
      </c>
      <c r="U12" s="25">
        <v>6129.44</v>
      </c>
      <c r="V12" s="25">
        <f t="shared" si="4"/>
        <v>7916.639999999999</v>
      </c>
      <c r="W12" s="25">
        <v>-24</v>
      </c>
      <c r="X12" s="25">
        <f t="shared" si="5"/>
        <v>8949.36</v>
      </c>
      <c r="Y12" s="25">
        <f>2028+612.5</f>
        <v>2640.5</v>
      </c>
      <c r="Z12" s="25">
        <f>3844+1161-500</f>
        <v>4505</v>
      </c>
      <c r="AA12" s="25">
        <v>287</v>
      </c>
      <c r="AB12" s="25">
        <f>370+340</f>
        <v>710</v>
      </c>
      <c r="AC12" s="25">
        <v>533.16</v>
      </c>
      <c r="AD12" s="25">
        <v>419</v>
      </c>
      <c r="AE12" s="25">
        <f>240+410.3</f>
        <v>650.3</v>
      </c>
      <c r="AF12" s="25">
        <f>1010/2</f>
        <v>505</v>
      </c>
      <c r="AG12" s="25">
        <f t="shared" si="0"/>
        <v>-1056.7200000000012</v>
      </c>
      <c r="AH12" s="26">
        <f t="shared" si="7"/>
        <v>-1056.7200000000012</v>
      </c>
      <c r="AI12" s="7">
        <f>AH12/W23*T25</f>
        <v>2361.7954162306773</v>
      </c>
      <c r="AJ12" s="27">
        <v>3300</v>
      </c>
    </row>
    <row r="13" spans="1:36" ht="31.5">
      <c r="A13" s="18">
        <v>6</v>
      </c>
      <c r="B13" s="10" t="s">
        <v>45</v>
      </c>
      <c r="C13" s="25">
        <f t="shared" si="1"/>
        <v>858.8</v>
      </c>
      <c r="D13" s="25">
        <f t="shared" si="2"/>
        <v>691</v>
      </c>
      <c r="E13" s="25">
        <v>309</v>
      </c>
      <c r="F13" s="25">
        <v>0</v>
      </c>
      <c r="G13" s="25">
        <v>73</v>
      </c>
      <c r="H13" s="25">
        <v>274</v>
      </c>
      <c r="I13" s="25">
        <v>35</v>
      </c>
      <c r="J13" s="25">
        <v>0</v>
      </c>
      <c r="K13" s="25">
        <f t="shared" si="6"/>
        <v>167.8</v>
      </c>
      <c r="L13" s="25">
        <v>0</v>
      </c>
      <c r="M13" s="25">
        <v>0</v>
      </c>
      <c r="N13" s="25">
        <v>10</v>
      </c>
      <c r="O13" s="25">
        <v>0</v>
      </c>
      <c r="P13" s="25">
        <v>6</v>
      </c>
      <c r="Q13" s="25">
        <v>151.8</v>
      </c>
      <c r="R13" s="25">
        <f t="shared" si="3"/>
        <v>6745.15</v>
      </c>
      <c r="S13" s="25">
        <v>250</v>
      </c>
      <c r="T13" s="25">
        <v>243.9</v>
      </c>
      <c r="U13" s="25">
        <v>6251.25</v>
      </c>
      <c r="V13" s="25">
        <f t="shared" si="4"/>
        <v>7603.95</v>
      </c>
      <c r="W13" s="25">
        <v>13</v>
      </c>
      <c r="X13" s="25">
        <f t="shared" si="5"/>
        <v>8648.2</v>
      </c>
      <c r="Y13" s="25">
        <v>2037</v>
      </c>
      <c r="Z13" s="25">
        <f>3868+1170-500</f>
        <v>4538</v>
      </c>
      <c r="AA13" s="25">
        <v>294</v>
      </c>
      <c r="AB13" s="25">
        <v>960</v>
      </c>
      <c r="AC13" s="25">
        <v>0</v>
      </c>
      <c r="AD13" s="25">
        <v>1349</v>
      </c>
      <c r="AE13" s="25">
        <v>702.8</v>
      </c>
      <c r="AF13" s="25">
        <f>346/2</f>
        <v>173</v>
      </c>
      <c r="AG13" s="25">
        <f t="shared" si="0"/>
        <v>-1031.250000000001</v>
      </c>
      <c r="AH13" s="26">
        <f t="shared" si="7"/>
        <v>-1031.250000000001</v>
      </c>
      <c r="AI13" s="7">
        <f>AH13/W23*T25</f>
        <v>2304.8693343438995</v>
      </c>
      <c r="AJ13" s="27">
        <v>4700</v>
      </c>
    </row>
    <row r="14" spans="1:36" ht="31.5">
      <c r="A14" s="18">
        <v>7</v>
      </c>
      <c r="B14" s="10" t="s">
        <v>46</v>
      </c>
      <c r="C14" s="25">
        <f t="shared" si="1"/>
        <v>3953.1</v>
      </c>
      <c r="D14" s="25">
        <f t="shared" si="2"/>
        <v>3721.1</v>
      </c>
      <c r="E14" s="25">
        <v>2500</v>
      </c>
      <c r="F14" s="25">
        <v>24</v>
      </c>
      <c r="G14" s="25">
        <v>300</v>
      </c>
      <c r="H14" s="25">
        <v>860</v>
      </c>
      <c r="I14" s="25">
        <v>37.1</v>
      </c>
      <c r="J14" s="25">
        <v>0</v>
      </c>
      <c r="K14" s="25">
        <f t="shared" si="6"/>
        <v>232</v>
      </c>
      <c r="L14" s="25">
        <v>0</v>
      </c>
      <c r="M14" s="25">
        <v>0</v>
      </c>
      <c r="N14" s="25">
        <v>70</v>
      </c>
      <c r="O14" s="25">
        <v>7</v>
      </c>
      <c r="P14" s="25">
        <v>20</v>
      </c>
      <c r="Q14" s="25">
        <v>135</v>
      </c>
      <c r="R14" s="25">
        <f t="shared" si="3"/>
        <v>4667.95</v>
      </c>
      <c r="S14" s="25"/>
      <c r="T14" s="25">
        <v>0</v>
      </c>
      <c r="U14" s="25">
        <v>4667.95</v>
      </c>
      <c r="V14" s="25">
        <f t="shared" si="4"/>
        <v>8621.05</v>
      </c>
      <c r="W14" s="25">
        <v>35</v>
      </c>
      <c r="X14" s="25">
        <f t="shared" si="5"/>
        <v>9435.5</v>
      </c>
      <c r="Y14" s="25">
        <v>3041</v>
      </c>
      <c r="Z14" s="25">
        <f>3830+1127</f>
        <v>4957</v>
      </c>
      <c r="AA14" s="25">
        <v>313</v>
      </c>
      <c r="AB14" s="25">
        <f>85+488</f>
        <v>573</v>
      </c>
      <c r="AC14" s="25">
        <v>0</v>
      </c>
      <c r="AD14" s="25">
        <v>20</v>
      </c>
      <c r="AE14" s="25"/>
      <c r="AF14" s="25">
        <f>1063/2</f>
        <v>531.5</v>
      </c>
      <c r="AG14" s="25">
        <f t="shared" si="0"/>
        <v>-779.4500000000007</v>
      </c>
      <c r="AH14" s="26">
        <f t="shared" si="7"/>
        <v>-779.4500000000007</v>
      </c>
      <c r="AI14" s="7">
        <f>AH14/W23*T25</f>
        <v>1742.0900874224026</v>
      </c>
      <c r="AJ14" s="27">
        <v>1400</v>
      </c>
    </row>
    <row r="15" spans="1:36" ht="31.5">
      <c r="A15" s="18">
        <v>8</v>
      </c>
      <c r="B15" s="14" t="s">
        <v>47</v>
      </c>
      <c r="C15" s="25">
        <f t="shared" si="1"/>
        <v>401</v>
      </c>
      <c r="D15" s="25">
        <f t="shared" si="2"/>
        <v>398</v>
      </c>
      <c r="E15" s="25">
        <v>218</v>
      </c>
      <c r="F15" s="25">
        <v>0</v>
      </c>
      <c r="G15" s="25">
        <v>30</v>
      </c>
      <c r="H15" s="25">
        <v>120</v>
      </c>
      <c r="I15" s="25">
        <v>30</v>
      </c>
      <c r="J15" s="25">
        <v>0</v>
      </c>
      <c r="K15" s="25">
        <f t="shared" si="6"/>
        <v>3</v>
      </c>
      <c r="L15" s="25">
        <v>0</v>
      </c>
      <c r="M15" s="25">
        <v>0</v>
      </c>
      <c r="N15" s="25">
        <v>0</v>
      </c>
      <c r="O15" s="25">
        <v>0</v>
      </c>
      <c r="P15" s="25">
        <v>3</v>
      </c>
      <c r="Q15" s="25">
        <v>0</v>
      </c>
      <c r="R15" s="25">
        <f t="shared" si="3"/>
        <v>3330.9500000000003</v>
      </c>
      <c r="S15" s="25"/>
      <c r="T15" s="25">
        <v>257.9</v>
      </c>
      <c r="U15" s="25">
        <v>3073.05</v>
      </c>
      <c r="V15" s="25">
        <f t="shared" si="4"/>
        <v>3731.9500000000003</v>
      </c>
      <c r="W15" s="25">
        <v>93</v>
      </c>
      <c r="X15" s="25">
        <f t="shared" si="5"/>
        <v>4576</v>
      </c>
      <c r="Y15" s="25">
        <f>312+94</f>
        <v>406</v>
      </c>
      <c r="Z15" s="25">
        <v>3332</v>
      </c>
      <c r="AA15" s="25">
        <v>279</v>
      </c>
      <c r="AB15" s="25">
        <f>161+60</f>
        <v>221</v>
      </c>
      <c r="AC15" s="25">
        <v>0</v>
      </c>
      <c r="AD15" s="25">
        <v>13</v>
      </c>
      <c r="AE15" s="25"/>
      <c r="AF15" s="25">
        <f>650/2</f>
        <v>325</v>
      </c>
      <c r="AG15" s="25">
        <f t="shared" si="0"/>
        <v>-751.0499999999997</v>
      </c>
      <c r="AH15" s="26">
        <f t="shared" si="7"/>
        <v>-751.0499999999997</v>
      </c>
      <c r="AI15" s="7">
        <f>AH15/W23*T25</f>
        <v>1678.615382845075</v>
      </c>
      <c r="AJ15" s="27">
        <v>3000</v>
      </c>
    </row>
    <row r="16" spans="1:36" ht="31.5">
      <c r="A16" s="12">
        <v>9</v>
      </c>
      <c r="B16" s="11" t="s">
        <v>48</v>
      </c>
      <c r="C16" s="12">
        <f t="shared" si="1"/>
        <v>69697</v>
      </c>
      <c r="D16" s="12">
        <f t="shared" si="2"/>
        <v>68828</v>
      </c>
      <c r="E16" s="12">
        <v>28000</v>
      </c>
      <c r="F16" s="12">
        <v>39544</v>
      </c>
      <c r="G16" s="12">
        <v>770</v>
      </c>
      <c r="H16" s="12">
        <v>479</v>
      </c>
      <c r="I16" s="12">
        <v>35</v>
      </c>
      <c r="J16" s="12">
        <v>0</v>
      </c>
      <c r="K16" s="12">
        <f t="shared" si="6"/>
        <v>869</v>
      </c>
      <c r="L16" s="12">
        <v>322</v>
      </c>
      <c r="M16" s="12">
        <v>508.5</v>
      </c>
      <c r="N16" s="12">
        <v>7</v>
      </c>
      <c r="O16" s="12">
        <v>31.5</v>
      </c>
      <c r="P16" s="12">
        <v>0</v>
      </c>
      <c r="Q16" s="12">
        <v>0</v>
      </c>
      <c r="R16" s="25">
        <f t="shared" si="3"/>
        <v>0</v>
      </c>
      <c r="S16" s="12"/>
      <c r="T16" s="12">
        <v>0</v>
      </c>
      <c r="U16" s="12">
        <v>0</v>
      </c>
      <c r="V16" s="12">
        <f t="shared" si="4"/>
        <v>69697</v>
      </c>
      <c r="W16" s="12">
        <v>7810</v>
      </c>
      <c r="X16" s="25">
        <f t="shared" si="5"/>
        <v>47104</v>
      </c>
      <c r="Y16" s="12">
        <f>1401+423</f>
        <v>1824</v>
      </c>
      <c r="Z16" s="12">
        <v>16879</v>
      </c>
      <c r="AA16" s="12">
        <v>0</v>
      </c>
      <c r="AB16" s="12">
        <f>177+1285</f>
        <v>1462</v>
      </c>
      <c r="AC16" s="12">
        <v>0</v>
      </c>
      <c r="AD16" s="12">
        <v>365</v>
      </c>
      <c r="AE16" s="12"/>
      <c r="AF16" s="12">
        <f>53148/2</f>
        <v>26574</v>
      </c>
      <c r="AG16" s="12">
        <f t="shared" si="0"/>
        <v>30403</v>
      </c>
      <c r="AH16" s="26"/>
      <c r="AI16" s="7">
        <f>AH16/W23*T25</f>
        <v>0</v>
      </c>
      <c r="AJ16" s="15"/>
    </row>
    <row r="17" spans="1:36" ht="31.5">
      <c r="A17" s="12">
        <v>10</v>
      </c>
      <c r="B17" s="11" t="s">
        <v>49</v>
      </c>
      <c r="C17" s="12">
        <f t="shared" si="1"/>
        <v>10814</v>
      </c>
      <c r="D17" s="12">
        <f t="shared" si="2"/>
        <v>10175.2</v>
      </c>
      <c r="E17" s="12">
        <v>7942</v>
      </c>
      <c r="F17" s="12">
        <v>0</v>
      </c>
      <c r="G17" s="12">
        <v>540</v>
      </c>
      <c r="H17" s="12">
        <v>1619.2</v>
      </c>
      <c r="I17" s="12">
        <v>74</v>
      </c>
      <c r="J17" s="12">
        <v>0</v>
      </c>
      <c r="K17" s="12">
        <f t="shared" si="6"/>
        <v>638.8</v>
      </c>
      <c r="L17" s="12">
        <v>148.8</v>
      </c>
      <c r="M17" s="12">
        <v>0</v>
      </c>
      <c r="N17" s="12">
        <v>20</v>
      </c>
      <c r="O17" s="12">
        <v>215</v>
      </c>
      <c r="P17" s="12">
        <v>15</v>
      </c>
      <c r="Q17" s="12">
        <v>240</v>
      </c>
      <c r="R17" s="25">
        <f t="shared" si="3"/>
        <v>9564.4</v>
      </c>
      <c r="S17" s="12">
        <v>300</v>
      </c>
      <c r="T17" s="12">
        <v>2745.7</v>
      </c>
      <c r="U17" s="12">
        <v>6518.7</v>
      </c>
      <c r="V17" s="12">
        <f t="shared" si="4"/>
        <v>20378.4</v>
      </c>
      <c r="W17" s="12">
        <v>1336</v>
      </c>
      <c r="X17" s="25">
        <f t="shared" si="5"/>
        <v>22017.5</v>
      </c>
      <c r="Y17" s="12">
        <v>2234</v>
      </c>
      <c r="Z17" s="12">
        <f>9376+2832</f>
        <v>12208</v>
      </c>
      <c r="AA17" s="12">
        <v>816</v>
      </c>
      <c r="AB17" s="12">
        <f>233+651</f>
        <v>884</v>
      </c>
      <c r="AC17" s="12">
        <v>0</v>
      </c>
      <c r="AD17" s="12">
        <v>674</v>
      </c>
      <c r="AE17" s="12"/>
      <c r="AF17" s="12">
        <f>10403/2</f>
        <v>5201.5</v>
      </c>
      <c r="AG17" s="12">
        <f t="shared" si="0"/>
        <v>-303.09999999999854</v>
      </c>
      <c r="AH17" s="26">
        <f t="shared" si="7"/>
        <v>-303.09999999999854</v>
      </c>
      <c r="AI17" s="7">
        <f>AH17/W23*T25</f>
        <v>677.4360196263098</v>
      </c>
      <c r="AJ17" s="15"/>
    </row>
    <row r="18" spans="1:36" ht="31.5">
      <c r="A18" s="12">
        <v>11</v>
      </c>
      <c r="B18" s="11" t="s">
        <v>50</v>
      </c>
      <c r="C18" s="12">
        <f t="shared" si="1"/>
        <v>21581.5</v>
      </c>
      <c r="D18" s="12">
        <f t="shared" si="2"/>
        <v>21561.5</v>
      </c>
      <c r="E18" s="12">
        <v>21500</v>
      </c>
      <c r="F18" s="12">
        <v>0</v>
      </c>
      <c r="G18" s="12">
        <v>5.5</v>
      </c>
      <c r="H18" s="12">
        <v>16</v>
      </c>
      <c r="I18" s="12">
        <v>40</v>
      </c>
      <c r="J18" s="12">
        <v>0</v>
      </c>
      <c r="K18" s="12">
        <f t="shared" si="6"/>
        <v>20</v>
      </c>
      <c r="L18" s="12">
        <v>0</v>
      </c>
      <c r="M18" s="12">
        <v>0</v>
      </c>
      <c r="N18" s="12">
        <v>0</v>
      </c>
      <c r="O18" s="12">
        <v>0</v>
      </c>
      <c r="P18" s="12">
        <v>20</v>
      </c>
      <c r="Q18" s="12">
        <v>0</v>
      </c>
      <c r="R18" s="25">
        <f t="shared" si="3"/>
        <v>300</v>
      </c>
      <c r="S18" s="12">
        <v>300</v>
      </c>
      <c r="T18" s="12">
        <v>0</v>
      </c>
      <c r="U18" s="12">
        <v>0</v>
      </c>
      <c r="V18" s="12">
        <f t="shared" si="4"/>
        <v>21881.5</v>
      </c>
      <c r="W18" s="12">
        <v>4406</v>
      </c>
      <c r="X18" s="25">
        <f t="shared" si="5"/>
        <v>17017</v>
      </c>
      <c r="Y18" s="12">
        <v>0</v>
      </c>
      <c r="Z18" s="12">
        <v>10089</v>
      </c>
      <c r="AA18" s="12">
        <v>563</v>
      </c>
      <c r="AB18" s="12">
        <v>418</v>
      </c>
      <c r="AC18" s="12">
        <v>0</v>
      </c>
      <c r="AD18" s="12">
        <v>187</v>
      </c>
      <c r="AE18" s="12"/>
      <c r="AF18" s="12">
        <f>11520/2</f>
        <v>5760</v>
      </c>
      <c r="AG18" s="12">
        <f t="shared" si="0"/>
        <v>9270.5</v>
      </c>
      <c r="AH18" s="26"/>
      <c r="AI18" s="7">
        <f>AH18/W23*T25</f>
        <v>0</v>
      </c>
      <c r="AJ18" s="15"/>
    </row>
    <row r="19" spans="1:36" ht="31.5">
      <c r="A19" s="18">
        <v>12</v>
      </c>
      <c r="B19" s="11" t="s">
        <v>51</v>
      </c>
      <c r="C19" s="12">
        <f t="shared" si="1"/>
        <v>10347.1</v>
      </c>
      <c r="D19" s="12">
        <f t="shared" si="2"/>
        <v>8724.1</v>
      </c>
      <c r="E19" s="12">
        <v>6764</v>
      </c>
      <c r="F19" s="12">
        <v>0</v>
      </c>
      <c r="G19" s="12">
        <v>410</v>
      </c>
      <c r="H19" s="12">
        <v>1500</v>
      </c>
      <c r="I19" s="12">
        <v>50</v>
      </c>
      <c r="J19" s="12">
        <v>0.1</v>
      </c>
      <c r="K19" s="12">
        <f t="shared" si="6"/>
        <v>1623</v>
      </c>
      <c r="L19" s="12">
        <v>300</v>
      </c>
      <c r="M19" s="12">
        <v>128</v>
      </c>
      <c r="N19" s="12">
        <v>50</v>
      </c>
      <c r="O19" s="12">
        <v>1070</v>
      </c>
      <c r="P19" s="12">
        <v>25</v>
      </c>
      <c r="Q19" s="12">
        <v>50</v>
      </c>
      <c r="R19" s="25">
        <f t="shared" si="3"/>
        <v>11431.1</v>
      </c>
      <c r="S19" s="12">
        <v>600</v>
      </c>
      <c r="T19" s="12">
        <v>4608.1</v>
      </c>
      <c r="U19" s="12">
        <v>6223</v>
      </c>
      <c r="V19" s="12">
        <f t="shared" si="4"/>
        <v>21778.2</v>
      </c>
      <c r="W19" s="12">
        <v>1246</v>
      </c>
      <c r="X19" s="25">
        <f t="shared" si="5"/>
        <v>23476.5</v>
      </c>
      <c r="Y19" s="12">
        <v>6089</v>
      </c>
      <c r="Z19" s="12">
        <v>8750</v>
      </c>
      <c r="AA19" s="12">
        <v>770</v>
      </c>
      <c r="AB19" s="12">
        <f>285+518</f>
        <v>803</v>
      </c>
      <c r="AC19" s="12">
        <v>0</v>
      </c>
      <c r="AD19" s="12">
        <v>1610</v>
      </c>
      <c r="AE19" s="12"/>
      <c r="AF19" s="12">
        <f>10909/2</f>
        <v>5454.5</v>
      </c>
      <c r="AG19" s="12">
        <f t="shared" si="0"/>
        <v>-452.2999999999993</v>
      </c>
      <c r="AH19" s="26">
        <f t="shared" si="7"/>
        <v>-452.2999999999993</v>
      </c>
      <c r="AI19" s="7">
        <f>AH19/W23*T25</f>
        <v>1010.9017211381752</v>
      </c>
      <c r="AJ19" s="15">
        <v>2700</v>
      </c>
    </row>
    <row r="20" spans="1:36" ht="31.5">
      <c r="A20" s="12">
        <v>13</v>
      </c>
      <c r="B20" s="11" t="s">
        <v>52</v>
      </c>
      <c r="C20" s="12">
        <f t="shared" si="1"/>
        <v>3334</v>
      </c>
      <c r="D20" s="12">
        <f t="shared" si="2"/>
        <v>3139</v>
      </c>
      <c r="E20" s="12">
        <v>1263</v>
      </c>
      <c r="F20" s="12">
        <v>50</v>
      </c>
      <c r="G20" s="12">
        <v>300</v>
      </c>
      <c r="H20" s="12">
        <v>1500</v>
      </c>
      <c r="I20" s="12">
        <v>25</v>
      </c>
      <c r="J20" s="12">
        <v>1</v>
      </c>
      <c r="K20" s="12">
        <f t="shared" si="6"/>
        <v>195</v>
      </c>
      <c r="L20" s="12">
        <v>65</v>
      </c>
      <c r="M20" s="12">
        <v>0</v>
      </c>
      <c r="N20" s="12">
        <v>0</v>
      </c>
      <c r="O20" s="12">
        <v>100</v>
      </c>
      <c r="P20" s="12">
        <v>30</v>
      </c>
      <c r="Q20" s="12">
        <v>0</v>
      </c>
      <c r="R20" s="25">
        <f t="shared" si="3"/>
        <v>11367.5</v>
      </c>
      <c r="S20" s="12">
        <v>300</v>
      </c>
      <c r="T20" s="12">
        <v>7048.1</v>
      </c>
      <c r="U20" s="12">
        <v>4019.4</v>
      </c>
      <c r="V20" s="12">
        <f t="shared" si="4"/>
        <v>14701.5</v>
      </c>
      <c r="W20" s="12">
        <v>-91</v>
      </c>
      <c r="X20" s="25">
        <f t="shared" si="5"/>
        <v>14873.5</v>
      </c>
      <c r="Y20" s="12">
        <v>4262</v>
      </c>
      <c r="Z20" s="12">
        <f>5980+1806</f>
        <v>7786</v>
      </c>
      <c r="AA20" s="12">
        <v>579</v>
      </c>
      <c r="AB20" s="12">
        <v>677</v>
      </c>
      <c r="AC20" s="12">
        <v>0</v>
      </c>
      <c r="AD20" s="12">
        <v>780</v>
      </c>
      <c r="AE20" s="12"/>
      <c r="AF20" s="12">
        <f>1579/2</f>
        <v>789.5</v>
      </c>
      <c r="AG20" s="12">
        <f t="shared" si="0"/>
        <v>-263</v>
      </c>
      <c r="AH20" s="23">
        <f t="shared" si="7"/>
        <v>-263</v>
      </c>
      <c r="AI20" s="7">
        <f>AH20/W23*T25</f>
        <v>587.811524782977</v>
      </c>
      <c r="AJ20" s="15"/>
    </row>
    <row r="21" spans="1:36" ht="21" customHeight="1">
      <c r="A21" s="12"/>
      <c r="B21" s="12"/>
      <c r="C21" s="13">
        <f>SUM(C8:C20)</f>
        <v>140869.1</v>
      </c>
      <c r="D21" s="13">
        <f aca="true" t="shared" si="8" ref="D21:U21">SUM(D8:D20)</f>
        <v>135492.9</v>
      </c>
      <c r="E21" s="13">
        <f t="shared" si="8"/>
        <v>75010.9</v>
      </c>
      <c r="F21" s="13">
        <f t="shared" si="8"/>
        <v>41506.5</v>
      </c>
      <c r="G21" s="13">
        <f t="shared" si="8"/>
        <v>3334.9</v>
      </c>
      <c r="H21" s="13">
        <f t="shared" si="8"/>
        <v>15115.2</v>
      </c>
      <c r="I21" s="13">
        <f t="shared" si="8"/>
        <v>522.3</v>
      </c>
      <c r="J21" s="13">
        <f t="shared" si="8"/>
        <v>3.1</v>
      </c>
      <c r="K21" s="13">
        <f t="shared" si="8"/>
        <v>5376.2</v>
      </c>
      <c r="L21" s="13">
        <f t="shared" si="8"/>
        <v>875.8</v>
      </c>
      <c r="M21" s="13">
        <f t="shared" si="8"/>
        <v>1608.1</v>
      </c>
      <c r="N21" s="13">
        <f t="shared" si="8"/>
        <v>215</v>
      </c>
      <c r="O21" s="13">
        <f t="shared" si="8"/>
        <v>1823.5</v>
      </c>
      <c r="P21" s="13">
        <f t="shared" si="8"/>
        <v>217</v>
      </c>
      <c r="Q21" s="13">
        <f t="shared" si="8"/>
        <v>636.8</v>
      </c>
      <c r="R21" s="13">
        <f t="shared" si="8"/>
        <v>76573.59999999999</v>
      </c>
      <c r="S21" s="13"/>
      <c r="T21" s="13">
        <f t="shared" si="8"/>
        <v>15155.2</v>
      </c>
      <c r="U21" s="13">
        <f t="shared" si="8"/>
        <v>59243.4</v>
      </c>
      <c r="V21" s="24">
        <f aca="true" t="shared" si="9" ref="V21:AJ21">SUM(V8:V20)</f>
        <v>217442.69999999998</v>
      </c>
      <c r="W21" s="24">
        <f t="shared" si="9"/>
        <v>16925</v>
      </c>
      <c r="X21" s="24">
        <f t="shared" si="9"/>
        <v>199221.49</v>
      </c>
      <c r="Y21" s="13">
        <f t="shared" si="9"/>
        <v>35743.5</v>
      </c>
      <c r="Z21" s="13">
        <f t="shared" si="9"/>
        <v>92437</v>
      </c>
      <c r="AA21" s="13">
        <f t="shared" si="9"/>
        <v>4960</v>
      </c>
      <c r="AB21" s="13">
        <f t="shared" si="9"/>
        <v>10594</v>
      </c>
      <c r="AC21" s="13">
        <f t="shared" si="9"/>
        <v>675.5899999999999</v>
      </c>
      <c r="AD21" s="13">
        <f t="shared" si="9"/>
        <v>6977</v>
      </c>
      <c r="AE21" s="13">
        <f t="shared" si="9"/>
        <v>1593.1</v>
      </c>
      <c r="AF21" s="13">
        <f t="shared" si="9"/>
        <v>49427.5</v>
      </c>
      <c r="AG21" s="13">
        <f t="shared" si="9"/>
        <v>35146.20999999999</v>
      </c>
      <c r="AH21" s="23">
        <f t="shared" si="9"/>
        <v>-6517.780000000001</v>
      </c>
      <c r="AI21" s="7">
        <f t="shared" si="9"/>
        <v>14567.399999999969</v>
      </c>
      <c r="AJ21" s="16">
        <f t="shared" si="9"/>
        <v>20900</v>
      </c>
    </row>
    <row r="22" spans="20:37" ht="15">
      <c r="T22" t="s">
        <v>67</v>
      </c>
      <c r="V22" s="28">
        <f>SUM(V8:V20)-V18-V16-V10-V9</f>
        <v>103892.20999999998</v>
      </c>
      <c r="W22" s="28">
        <f>SUM(W8:W20)-W18-W16-W10-W9</f>
        <v>3085</v>
      </c>
      <c r="X22" s="28">
        <f>SUM(X8:X20)-X18-X16-X10-X9</f>
        <v>113494.98999999999</v>
      </c>
      <c r="AI22">
        <f>SUM(AI8:AI20)</f>
        <v>14567.399999999969</v>
      </c>
      <c r="AJ22" s="17">
        <v>20434</v>
      </c>
      <c r="AK22" t="s">
        <v>56</v>
      </c>
    </row>
    <row r="23" spans="20:29" ht="15">
      <c r="T23" t="s">
        <v>68</v>
      </c>
      <c r="W23" s="39">
        <f>V22-X22+W22</f>
        <v>-6517.780000000013</v>
      </c>
      <c r="AC23" t="s">
        <v>79</v>
      </c>
    </row>
    <row r="25" spans="18:20" ht="15">
      <c r="R25" t="s">
        <v>70</v>
      </c>
      <c r="T25" s="4">
        <v>14567.4</v>
      </c>
    </row>
    <row r="26" ht="15" hidden="1">
      <c r="T26" s="5"/>
    </row>
    <row r="27" spans="3:4" ht="15">
      <c r="C27" t="s">
        <v>59</v>
      </c>
      <c r="D27" t="s">
        <v>60</v>
      </c>
    </row>
    <row r="28" spans="3:4" ht="15">
      <c r="C28" t="s">
        <v>61</v>
      </c>
      <c r="D28">
        <v>2626.2</v>
      </c>
    </row>
    <row r="29" spans="3:4" ht="15">
      <c r="C29" t="s">
        <v>62</v>
      </c>
      <c r="D29">
        <v>561</v>
      </c>
    </row>
    <row r="30" spans="3:4" ht="15">
      <c r="C30" t="s">
        <v>63</v>
      </c>
      <c r="D30">
        <v>806</v>
      </c>
    </row>
    <row r="31" spans="3:4" ht="15">
      <c r="C31" t="s">
        <v>64</v>
      </c>
      <c r="D31">
        <v>300</v>
      </c>
    </row>
  </sheetData>
  <sheetProtection/>
  <mergeCells count="1">
    <mergeCell ref="AD6:AD7"/>
  </mergeCells>
  <printOptions/>
  <pageMargins left="0.31496062992125984" right="0.1968503937007874" top="0.15748031496062992" bottom="0.15748031496062992" header="0.31496062992125984" footer="0.31496062992125984"/>
  <pageSetup horizontalDpi="180" verticalDpi="18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6" sqref="A16:E16"/>
    </sheetView>
  </sheetViews>
  <sheetFormatPr defaultColWidth="9.140625" defaultRowHeight="15"/>
  <cols>
    <col min="1" max="1" width="24.140625" style="0" customWidth="1"/>
    <col min="2" max="2" width="16.28125" style="0" customWidth="1"/>
    <col min="3" max="3" width="18.57421875" style="0" customWidth="1"/>
    <col min="4" max="4" width="17.28125" style="0" customWidth="1"/>
  </cols>
  <sheetData>
    <row r="1" spans="2:4" ht="15">
      <c r="B1" t="s">
        <v>12</v>
      </c>
      <c r="C1" t="s">
        <v>12</v>
      </c>
      <c r="D1" t="s">
        <v>12</v>
      </c>
    </row>
    <row r="2" spans="1:5" ht="15">
      <c r="A2" s="118"/>
      <c r="B2" s="124">
        <v>0.3</v>
      </c>
      <c r="C2" s="124">
        <v>0.35</v>
      </c>
      <c r="D2" s="124">
        <v>0.4</v>
      </c>
      <c r="E2" s="137">
        <v>0.5</v>
      </c>
    </row>
    <row r="3" spans="1:5" ht="15">
      <c r="A3" s="118" t="str">
        <f>Анализ!B4</f>
        <v>Наименование</v>
      </c>
      <c r="B3" s="118" t="str">
        <f>Анализ!L4</f>
        <v>итого</v>
      </c>
      <c r="C3" s="118"/>
      <c r="D3" s="118"/>
      <c r="E3" s="12"/>
    </row>
    <row r="4" spans="1:5" ht="15">
      <c r="A4" s="118">
        <f>Анализ!B5</f>
        <v>0</v>
      </c>
      <c r="B4" s="118" t="str">
        <f>Анализ!L5</f>
        <v>  разница с 2017 г</v>
      </c>
      <c r="C4" s="118">
        <f>Анализ!M5</f>
        <v>0</v>
      </c>
      <c r="D4" s="118">
        <f>Анализ!N5</f>
        <v>0</v>
      </c>
      <c r="E4" s="12"/>
    </row>
    <row r="5" spans="1:5" ht="15">
      <c r="A5" s="118" t="str">
        <f>Анализ!B6</f>
        <v>Большееланское сел.пос. </v>
      </c>
      <c r="B5" s="97">
        <f>Анализ!L6</f>
        <v>2879.1000000000004</v>
      </c>
      <c r="C5" s="97">
        <f>'Анализ (2)'!L6</f>
        <v>2879.1000000000004</v>
      </c>
      <c r="D5" s="97">
        <f>'Анализ (3)'!L6</f>
        <v>2879.1000000000004</v>
      </c>
      <c r="E5" s="97">
        <f>'Анализ (4)'!N6</f>
        <v>2879.1000000000004</v>
      </c>
    </row>
    <row r="6" spans="1:5" ht="15">
      <c r="A6" s="118" t="str">
        <f>Анализ!B7</f>
        <v>Железнодорожное сел.пос. </v>
      </c>
      <c r="B6" s="97">
        <f>Анализ!L7</f>
        <v>-496.1999999999998</v>
      </c>
      <c r="C6" s="97">
        <f>'Анализ (2)'!L7</f>
        <v>-496.1999999999998</v>
      </c>
      <c r="D6" s="97">
        <f>'Анализ (3)'!L7</f>
        <v>-496.1999999999998</v>
      </c>
      <c r="E6" s="97">
        <f>'Анализ (4)'!N7</f>
        <v>-496.1999999999998</v>
      </c>
    </row>
    <row r="7" spans="1:5" ht="15">
      <c r="A7" s="118" t="str">
        <f>Анализ!B8</f>
        <v>Мальтинское сел.пос.</v>
      </c>
      <c r="B7" s="97">
        <f>Анализ!L8</f>
        <v>-7222.8</v>
      </c>
      <c r="C7" s="97">
        <f>'Анализ (2)'!L8</f>
        <v>-7222.8</v>
      </c>
      <c r="D7" s="97">
        <f>'Анализ (3)'!L8</f>
        <v>-7222.8</v>
      </c>
      <c r="E7" s="97">
        <f>'Анализ (4)'!N8</f>
        <v>-7222.8</v>
      </c>
    </row>
    <row r="8" spans="1:5" ht="15">
      <c r="A8" s="138" t="str">
        <f>Анализ!B9</f>
        <v>Новожилкинское сел.пос.</v>
      </c>
      <c r="B8" s="139">
        <f>Анализ!L9</f>
        <v>-1966.0974256084264</v>
      </c>
      <c r="C8" s="139">
        <f>'Анализ (2)'!L9</f>
        <v>-1562.6016178876562</v>
      </c>
      <c r="D8" s="139">
        <f>'Анализ (3)'!L9</f>
        <v>-1411.1842395550957</v>
      </c>
      <c r="E8" s="139">
        <f>'Анализ (4)'!N9</f>
        <v>-1232.9143868786305</v>
      </c>
    </row>
    <row r="9" spans="1:5" ht="15">
      <c r="A9" s="138" t="str">
        <f>Анализ!B10</f>
        <v>Новомальтинское сел.пос.</v>
      </c>
      <c r="B9" s="139">
        <f>Анализ!L10</f>
        <v>832.5951274167437</v>
      </c>
      <c r="C9" s="139">
        <f>'Анализ (2)'!L10</f>
        <v>92.19616433376723</v>
      </c>
      <c r="D9" s="139">
        <f>'Анализ (3)'!L10</f>
        <v>-794.2798777405078</v>
      </c>
      <c r="E9" s="139">
        <f>'Анализ (4)'!N10</f>
        <v>-1954.8545530996762</v>
      </c>
    </row>
    <row r="10" spans="1:5" ht="15">
      <c r="A10" s="138" t="str">
        <f>Анализ!B11</f>
        <v>Раздольинское сел.пос.</v>
      </c>
      <c r="B10" s="139">
        <f>Анализ!L11</f>
        <v>301.9022981916678</v>
      </c>
      <c r="C10" s="139">
        <f>'Анализ (2)'!L11</f>
        <v>122.39752772223801</v>
      </c>
      <c r="D10" s="139">
        <f>'Анализ (3)'!L11</f>
        <v>-207.75099508204767</v>
      </c>
      <c r="E10" s="139">
        <f>'Анализ (4)'!N11</f>
        <v>-646.9176910005153</v>
      </c>
    </row>
    <row r="11" spans="1:5" ht="15">
      <c r="A11" s="138" t="str">
        <f>Анализ!B12</f>
        <v>Сосновское сел.пос.</v>
      </c>
      <c r="B11" s="139">
        <f>Анализ!L12</f>
        <v>-2427.3999999999996</v>
      </c>
      <c r="C11" s="139">
        <f>'Анализ (2)'!L12</f>
        <v>-2111.442901290673</v>
      </c>
      <c r="D11" s="139">
        <f>'Анализ (3)'!L12</f>
        <v>-1852.578103598842</v>
      </c>
      <c r="E11" s="139">
        <f>'Анализ (4)'!N12</f>
        <v>-1525.0041201477761</v>
      </c>
    </row>
    <row r="12" spans="1:5" ht="15">
      <c r="A12" s="118" t="str">
        <f>Анализ!B13</f>
        <v>Тальянское сел.пос.</v>
      </c>
      <c r="B12" s="97">
        <f>Анализ!L13</f>
        <v>-1294.8000000000002</v>
      </c>
      <c r="C12" s="97">
        <f>'Анализ (2)'!L13</f>
        <v>-1294.8000000000002</v>
      </c>
      <c r="D12" s="97">
        <f>'Анализ (3)'!L13</f>
        <v>-1294.8000000000002</v>
      </c>
      <c r="E12" s="97">
        <f>'Анализ (4)'!N13</f>
        <v>-1294.8000000000002</v>
      </c>
    </row>
    <row r="13" spans="1:5" ht="15">
      <c r="A13" s="118" t="str">
        <f>Анализ!B14</f>
        <v>Белореченское гор.пос. </v>
      </c>
      <c r="B13" s="97">
        <f>Анализ!L14</f>
        <v>1913</v>
      </c>
      <c r="C13" s="97">
        <f>'Анализ (2)'!L14</f>
        <v>1913</v>
      </c>
      <c r="D13" s="97">
        <f>'Анализ (3)'!L14</f>
        <v>1913</v>
      </c>
      <c r="E13" s="97">
        <f>'Анализ (4)'!N14</f>
        <v>1913</v>
      </c>
    </row>
    <row r="14" spans="1:5" ht="15">
      <c r="A14" s="118" t="str">
        <f>Анализ!B15</f>
        <v>Мишелевское гор.пос. </v>
      </c>
      <c r="B14" s="97">
        <f>Анализ!L15</f>
        <v>1971.300000000001</v>
      </c>
      <c r="C14" s="97">
        <f>'Анализ (2)'!L15</f>
        <v>1971.300000000001</v>
      </c>
      <c r="D14" s="97">
        <f>'Анализ (3)'!L15</f>
        <v>1971.300000000001</v>
      </c>
      <c r="E14" s="97">
        <f>'Анализ (4)'!N15</f>
        <v>1971.300000000001</v>
      </c>
    </row>
    <row r="15" spans="1:5" ht="15">
      <c r="A15" s="118" t="str">
        <f>Анализ!B16</f>
        <v>Среднинское гор.пос.</v>
      </c>
      <c r="B15" s="97">
        <f>Анализ!L16</f>
        <v>5067</v>
      </c>
      <c r="C15" s="97">
        <f>'Анализ (2)'!L16</f>
        <v>5067</v>
      </c>
      <c r="D15" s="97">
        <f>'Анализ (3)'!L16</f>
        <v>5067</v>
      </c>
      <c r="E15" s="97">
        <f>'Анализ (4)'!N16</f>
        <v>5067</v>
      </c>
    </row>
    <row r="16" spans="1:5" ht="15">
      <c r="A16" s="138" t="str">
        <f>Анализ!B17</f>
        <v>Тайтурское гор.пос. </v>
      </c>
      <c r="B16" s="139">
        <f>Анализ!L17</f>
        <v>-1753.1000000000004</v>
      </c>
      <c r="C16" s="139">
        <f>'Анализ (2)'!L17</f>
        <v>-1552.6491728776564</v>
      </c>
      <c r="D16" s="139">
        <f>'Анализ (3)'!L17</f>
        <v>-746.3067840235308</v>
      </c>
      <c r="E16" s="139">
        <f>'Анализ (4)'!N17</f>
        <v>347.59075112660685</v>
      </c>
    </row>
    <row r="17" spans="1:5" ht="15">
      <c r="A17" s="118" t="str">
        <f>Анализ!B18</f>
        <v>Тельминское гор.пос.  </v>
      </c>
      <c r="B17" s="97">
        <f>Анализ!L18</f>
        <v>1568.4000000000015</v>
      </c>
      <c r="C17" s="97">
        <f>'Анализ (2)'!L18</f>
        <v>1568.4000000000015</v>
      </c>
      <c r="D17" s="97">
        <f>'Анализ (3)'!L18</f>
        <v>1568.4000000000015</v>
      </c>
      <c r="E17" s="97">
        <f>'Анализ (4)'!N18</f>
        <v>1568.4000000000015</v>
      </c>
    </row>
    <row r="18" spans="3:5" ht="0.75" customHeight="1">
      <c r="C18" s="118"/>
      <c r="D18" s="118"/>
      <c r="E18" s="12"/>
    </row>
    <row r="19" ht="15" hidden="1">
      <c r="C19" s="118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19.00390625" style="0" customWidth="1"/>
    <col min="4" max="4" width="12.28125" style="0" customWidth="1"/>
    <col min="5" max="5" width="15.140625" style="0" customWidth="1"/>
  </cols>
  <sheetData>
    <row r="1" spans="2:5" ht="15">
      <c r="B1" s="12" t="s">
        <v>136</v>
      </c>
      <c r="C1" s="12" t="s">
        <v>137</v>
      </c>
      <c r="D1" s="12" t="s">
        <v>138</v>
      </c>
      <c r="E1" s="137">
        <v>0.5</v>
      </c>
    </row>
    <row r="2" spans="1:5" ht="15">
      <c r="A2" s="136"/>
      <c r="B2" s="12">
        <f>Анализ!I4</f>
        <v>2018</v>
      </c>
      <c r="C2" s="12">
        <v>2018</v>
      </c>
      <c r="D2" s="12">
        <v>2018</v>
      </c>
      <c r="E2" s="12">
        <v>2018</v>
      </c>
    </row>
    <row r="3" spans="1:5" ht="15">
      <c r="A3" s="136"/>
      <c r="B3" s="12" t="str">
        <f>Анализ!I5</f>
        <v>МБ сбал</v>
      </c>
      <c r="C3" s="12" t="str">
        <f>'Анализ (2)'!I5</f>
        <v>МБ сбал</v>
      </c>
      <c r="D3" s="12" t="str">
        <f>'Анализ (3)'!I5</f>
        <v>МБ сбал</v>
      </c>
      <c r="E3" s="12" t="str">
        <f>'Анализ (4)'!K5</f>
        <v>МБ сбал</v>
      </c>
    </row>
    <row r="4" spans="1:5" ht="15">
      <c r="A4" s="136" t="str">
        <f>Анализ!B6</f>
        <v>Большееланское сел.пос. </v>
      </c>
      <c r="B4" s="97">
        <f>Анализ!I6</f>
        <v>0</v>
      </c>
      <c r="C4" s="97">
        <f>'Анализ (2)'!I6</f>
        <v>0</v>
      </c>
      <c r="D4" s="97">
        <f>'Анализ (3)'!I6</f>
        <v>0</v>
      </c>
      <c r="E4" s="97">
        <f>'Анализ (4)'!K6</f>
        <v>0</v>
      </c>
    </row>
    <row r="5" spans="1:5" ht="15">
      <c r="A5" s="136" t="str">
        <f>Анализ!B7</f>
        <v>Железнодорожное сел.пос. </v>
      </c>
      <c r="B5" s="97">
        <f>Анализ!I7</f>
        <v>0</v>
      </c>
      <c r="C5" s="97">
        <f>'Анализ (2)'!I7</f>
        <v>0</v>
      </c>
      <c r="D5" s="97">
        <f>'Анализ (3)'!I7</f>
        <v>0</v>
      </c>
      <c r="E5" s="97">
        <f>'Анализ (4)'!K7</f>
        <v>0</v>
      </c>
    </row>
    <row r="6" spans="1:5" ht="15">
      <c r="A6" s="136" t="str">
        <f>Анализ!B8</f>
        <v>Мальтинское сел.пос.</v>
      </c>
      <c r="B6" s="97">
        <f>Анализ!I8</f>
        <v>0</v>
      </c>
      <c r="C6" s="97">
        <f>'Анализ (2)'!I8</f>
        <v>0</v>
      </c>
      <c r="D6" s="97">
        <f>'Анализ (3)'!I8</f>
        <v>0</v>
      </c>
      <c r="E6" s="97">
        <f>'Анализ (4)'!K8</f>
        <v>0</v>
      </c>
    </row>
    <row r="7" spans="1:5" ht="15">
      <c r="A7" s="140" t="str">
        <f>Анализ!B9</f>
        <v>Новожилкинское сел.пос.</v>
      </c>
      <c r="B7" s="139">
        <f>Анализ!I9</f>
        <v>2535.4025743915754</v>
      </c>
      <c r="C7" s="139">
        <f>'Анализ (2)'!I9</f>
        <v>2938.8983821123466</v>
      </c>
      <c r="D7" s="139">
        <f>'Анализ (3)'!I9</f>
        <v>3090.315760444906</v>
      </c>
      <c r="E7" s="139">
        <f>'Анализ (4)'!K9</f>
        <v>3268.5856131213723</v>
      </c>
    </row>
    <row r="8" spans="1:5" ht="15">
      <c r="A8" s="140" t="str">
        <f>Анализ!B10</f>
        <v>Новомальтинское сел.пос.</v>
      </c>
      <c r="B8" s="139">
        <f>Анализ!I10</f>
        <v>7671.495127416743</v>
      </c>
      <c r="C8" s="139">
        <f>'Анализ (2)'!I10</f>
        <v>6931.096164333766</v>
      </c>
      <c r="D8" s="139">
        <f>'Анализ (3)'!I10</f>
        <v>6044.620122259491</v>
      </c>
      <c r="E8" s="139">
        <f>'Анализ (4)'!K10</f>
        <v>4884.0454469003225</v>
      </c>
    </row>
    <row r="9" spans="1:5" ht="15">
      <c r="A9" s="140" t="str">
        <f>Анализ!B11</f>
        <v>Раздольинское сел.пос.</v>
      </c>
      <c r="B9" s="139">
        <f>Анализ!I11</f>
        <v>4193.102298191668</v>
      </c>
      <c r="C9" s="139">
        <f>'Анализ (2)'!I11</f>
        <v>4013.5975277222374</v>
      </c>
      <c r="D9" s="139">
        <f>'Анализ (3)'!I11</f>
        <v>3683.4490049179512</v>
      </c>
      <c r="E9" s="139">
        <f>'Анализ (4)'!K11</f>
        <v>3244.282308999484</v>
      </c>
    </row>
    <row r="10" spans="1:5" ht="15">
      <c r="A10" s="140" t="str">
        <f>Анализ!B12</f>
        <v>Сосновское сел.пос.</v>
      </c>
      <c r="B10" s="139">
        <f>Анализ!I12</f>
        <v>0</v>
      </c>
      <c r="C10" s="139">
        <f>'Анализ (2)'!I12</f>
        <v>315.9570987093255</v>
      </c>
      <c r="D10" s="139">
        <f>'Анализ (3)'!I12</f>
        <v>574.8218964011575</v>
      </c>
      <c r="E10" s="139">
        <f>'Анализ (4)'!K12</f>
        <v>902.3958798522226</v>
      </c>
    </row>
    <row r="11" spans="1:5" ht="15">
      <c r="A11" s="136" t="str">
        <f>Анализ!B13</f>
        <v>Тальянское сел.пос.</v>
      </c>
      <c r="B11" s="97">
        <f>Анализ!I13</f>
        <v>0</v>
      </c>
      <c r="C11" s="97">
        <f>'Анализ (2)'!I13</f>
        <v>0</v>
      </c>
      <c r="D11" s="97">
        <f>'Анализ (3)'!I13</f>
        <v>0</v>
      </c>
      <c r="E11" s="97">
        <f>'Анализ (4)'!K13</f>
        <v>0</v>
      </c>
    </row>
    <row r="12" spans="1:5" ht="15">
      <c r="A12" s="136" t="str">
        <f>Анализ!B14</f>
        <v>Белореченское гор.пос. </v>
      </c>
      <c r="B12" s="97">
        <f>Анализ!I14</f>
        <v>0</v>
      </c>
      <c r="C12" s="97">
        <f>'Анализ (2)'!I14</f>
        <v>0</v>
      </c>
      <c r="D12" s="97">
        <f>'Анализ (3)'!I14</f>
        <v>0</v>
      </c>
      <c r="E12" s="97">
        <f>'Анализ (4)'!K14</f>
        <v>0</v>
      </c>
    </row>
    <row r="13" spans="1:5" ht="15">
      <c r="A13" s="136" t="str">
        <f>Анализ!B15</f>
        <v>Мишелевское гор.пос. </v>
      </c>
      <c r="B13" s="97">
        <f>Анализ!I15</f>
        <v>0</v>
      </c>
      <c r="C13" s="97">
        <f>'Анализ (2)'!I15</f>
        <v>0</v>
      </c>
      <c r="D13" s="97">
        <f>'Анализ (3)'!I15</f>
        <v>0</v>
      </c>
      <c r="E13" s="97">
        <f>'Анализ (4)'!K15</f>
        <v>0</v>
      </c>
    </row>
    <row r="14" spans="1:5" ht="15">
      <c r="A14" s="136" t="str">
        <f>Анализ!B16</f>
        <v>Среднинское гор.пос.</v>
      </c>
      <c r="B14" s="97">
        <f>Анализ!I16</f>
        <v>0</v>
      </c>
      <c r="C14" s="97">
        <f>'Анализ (2)'!I16</f>
        <v>0</v>
      </c>
      <c r="D14" s="97">
        <f>'Анализ (3)'!I16</f>
        <v>0</v>
      </c>
      <c r="E14" s="97">
        <f>'Анализ (4)'!K16</f>
        <v>0</v>
      </c>
    </row>
    <row r="15" spans="1:5" ht="15">
      <c r="A15" s="140" t="str">
        <f>Анализ!B17</f>
        <v>Тайтурское гор.пос. </v>
      </c>
      <c r="B15" s="139">
        <f>Анализ!I17</f>
        <v>0</v>
      </c>
      <c r="C15" s="139">
        <f>'Анализ (2)'!I17</f>
        <v>200.45082712234355</v>
      </c>
      <c r="D15" s="139">
        <f>'Анализ (3)'!I17</f>
        <v>1006.79321597647</v>
      </c>
      <c r="E15" s="139">
        <f>'Анализ (4)'!K17</f>
        <v>2100.6907511266063</v>
      </c>
    </row>
    <row r="16" spans="1:5" ht="15">
      <c r="A16" s="136" t="str">
        <f>Анализ!B18</f>
        <v>Тельминское гор.пос.  </v>
      </c>
      <c r="B16" s="97">
        <f>Анализ!I18</f>
        <v>0</v>
      </c>
      <c r="C16" s="97">
        <f>'Анализ (2)'!I18</f>
        <v>0</v>
      </c>
      <c r="D16" s="97">
        <f>'Анализ (3)'!I18</f>
        <v>0</v>
      </c>
      <c r="E16" s="97">
        <f>'Анализ (4)'!K18</f>
        <v>0</v>
      </c>
    </row>
    <row r="17" spans="1:5" ht="15">
      <c r="A17" s="136">
        <f>Анализ!B19</f>
        <v>0</v>
      </c>
      <c r="B17" s="97">
        <f>Анализ!I19</f>
        <v>14399.999999999985</v>
      </c>
      <c r="C17" s="97">
        <f>'Анализ (2)'!I19</f>
        <v>14400.000000000018</v>
      </c>
      <c r="D17" s="97">
        <f>'Анализ (3)'!I19</f>
        <v>14399.999999999985</v>
      </c>
      <c r="E17" s="97">
        <f>'Анализ (4)'!K19</f>
        <v>14400.000000000007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0"/>
  <sheetViews>
    <sheetView zoomScalePageLayoutView="0" workbookViewId="0" topLeftCell="A4">
      <pane xSplit="2" ySplit="7" topLeftCell="Y20" activePane="bottomRight" state="frozen"/>
      <selection pane="topLeft" activeCell="A4" sqref="A4"/>
      <selection pane="topRight" activeCell="C4" sqref="C4"/>
      <selection pane="bottomLeft" activeCell="A8" sqref="A8"/>
      <selection pane="bottomRight" activeCell="Y11" sqref="Y11:Y24"/>
    </sheetView>
  </sheetViews>
  <sheetFormatPr defaultColWidth="9.140625" defaultRowHeight="15"/>
  <cols>
    <col min="1" max="1" width="4.00390625" style="0" customWidth="1"/>
    <col min="2" max="2" width="19.7109375" style="0" customWidth="1"/>
    <col min="3" max="3" width="9.00390625" style="0" customWidth="1"/>
    <col min="4" max="4" width="7.28125" style="0" customWidth="1"/>
    <col min="5" max="5" width="8.00390625" style="0" customWidth="1"/>
    <col min="6" max="6" width="7.8515625" style="0" customWidth="1"/>
    <col min="7" max="22" width="7.7109375" style="0" customWidth="1"/>
    <col min="23" max="23" width="10.8515625" style="0" customWidth="1"/>
    <col min="24" max="27" width="11.421875" style="0" customWidth="1"/>
    <col min="28" max="28" width="7.57421875" style="0" customWidth="1"/>
    <col min="29" max="29" width="6.7109375" style="0" customWidth="1"/>
    <col min="30" max="30" width="6.421875" style="0" hidden="1" customWidth="1"/>
    <col min="31" max="31" width="7.8515625" style="0" customWidth="1"/>
    <col min="32" max="32" width="6.28125" style="0" customWidth="1"/>
    <col min="33" max="33" width="6.421875" style="0" hidden="1" customWidth="1"/>
    <col min="34" max="34" width="5.8515625" style="0" customWidth="1"/>
    <col min="35" max="35" width="7.8515625" style="0" customWidth="1"/>
    <col min="36" max="37" width="7.140625" style="0" customWidth="1"/>
    <col min="38" max="38" width="11.8515625" style="0" customWidth="1"/>
    <col min="39" max="39" width="10.28125" style="0" customWidth="1"/>
    <col min="40" max="40" width="12.00390625" style="0" customWidth="1"/>
    <col min="41" max="41" width="10.7109375" style="0" customWidth="1"/>
    <col min="42" max="42" width="9.140625" style="0" customWidth="1"/>
    <col min="43" max="43" width="0.13671875" style="0" customWidth="1"/>
    <col min="44" max="44" width="9.140625" style="0" hidden="1" customWidth="1"/>
    <col min="45" max="45" width="13.28125" style="0" hidden="1" customWidth="1"/>
    <col min="46" max="46" width="9.140625" style="0" hidden="1" customWidth="1"/>
  </cols>
  <sheetData>
    <row r="2" spans="5:13" ht="18.75"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5:13" ht="18.75">
      <c r="E3" s="1" t="s">
        <v>0</v>
      </c>
      <c r="F3" s="1"/>
      <c r="G3" s="1"/>
      <c r="H3" s="1"/>
      <c r="I3" s="1"/>
      <c r="J3" s="1"/>
      <c r="K3" s="1"/>
      <c r="L3" s="1"/>
      <c r="M3" s="1"/>
    </row>
    <row r="4" spans="5:13" ht="18.75">
      <c r="E4" s="1"/>
      <c r="F4" s="1"/>
      <c r="G4" s="1"/>
      <c r="H4" s="1"/>
      <c r="I4" s="1"/>
      <c r="J4" s="1"/>
      <c r="K4" s="1"/>
      <c r="L4" s="1"/>
      <c r="M4" s="1"/>
    </row>
    <row r="5" spans="5:13" ht="18.75">
      <c r="E5" s="1"/>
      <c r="F5" s="1"/>
      <c r="G5" s="1"/>
      <c r="H5" s="1"/>
      <c r="I5" s="1"/>
      <c r="J5" s="1" t="s">
        <v>89</v>
      </c>
      <c r="K5" s="1"/>
      <c r="L5" s="1"/>
      <c r="M5" s="1"/>
    </row>
    <row r="6" spans="5:13" ht="23.25" customHeight="1">
      <c r="E6" s="1"/>
      <c r="F6" s="1"/>
      <c r="G6" s="1"/>
      <c r="H6" s="1"/>
      <c r="I6" s="1"/>
      <c r="J6" s="1" t="s">
        <v>108</v>
      </c>
      <c r="K6" s="1"/>
      <c r="L6" s="1"/>
      <c r="M6" s="1"/>
    </row>
    <row r="7" spans="5:13" ht="29.25" customHeight="1">
      <c r="E7" s="1"/>
      <c r="F7" s="1"/>
      <c r="G7" s="1"/>
      <c r="H7" s="1"/>
      <c r="I7" s="1"/>
      <c r="J7" s="1"/>
      <c r="K7" s="1"/>
      <c r="L7" s="1"/>
      <c r="M7" s="1"/>
    </row>
    <row r="8" spans="32:37" ht="20.25" customHeight="1" thickBot="1">
      <c r="AF8" t="s">
        <v>111</v>
      </c>
      <c r="AI8" s="33"/>
      <c r="AJ8" s="33"/>
      <c r="AK8" s="33"/>
    </row>
    <row r="9" spans="1:46" ht="51.75" customHeight="1">
      <c r="A9" s="41" t="s">
        <v>2</v>
      </c>
      <c r="B9" s="41" t="s">
        <v>3</v>
      </c>
      <c r="C9" s="62" t="s">
        <v>86</v>
      </c>
      <c r="D9" s="61" t="s">
        <v>7</v>
      </c>
      <c r="E9" s="41" t="s">
        <v>8</v>
      </c>
      <c r="F9" s="41" t="s">
        <v>87</v>
      </c>
      <c r="G9" s="41" t="s">
        <v>88</v>
      </c>
      <c r="H9" s="41" t="s">
        <v>90</v>
      </c>
      <c r="I9" s="41" t="s">
        <v>91</v>
      </c>
      <c r="J9" s="41" t="s">
        <v>92</v>
      </c>
      <c r="K9" s="61" t="s">
        <v>15</v>
      </c>
      <c r="L9" s="41" t="s">
        <v>93</v>
      </c>
      <c r="M9" s="41" t="s">
        <v>94</v>
      </c>
      <c r="N9" s="41" t="s">
        <v>95</v>
      </c>
      <c r="O9" s="41" t="s">
        <v>110</v>
      </c>
      <c r="P9" s="41" t="s">
        <v>96</v>
      </c>
      <c r="Q9" s="41" t="s">
        <v>97</v>
      </c>
      <c r="R9" s="41" t="s">
        <v>98</v>
      </c>
      <c r="S9" s="19" t="s">
        <v>109</v>
      </c>
      <c r="T9" s="42" t="s">
        <v>104</v>
      </c>
      <c r="U9" s="41" t="s">
        <v>23</v>
      </c>
      <c r="V9" s="49" t="s">
        <v>25</v>
      </c>
      <c r="W9" s="77" t="s">
        <v>99</v>
      </c>
      <c r="X9" s="126" t="s">
        <v>100</v>
      </c>
      <c r="Y9" s="28" t="s">
        <v>29</v>
      </c>
      <c r="Z9" s="28" t="s">
        <v>135</v>
      </c>
      <c r="AA9" s="28" t="s">
        <v>135</v>
      </c>
      <c r="AB9" s="131" t="s">
        <v>101</v>
      </c>
      <c r="AC9" s="87" t="s">
        <v>33</v>
      </c>
      <c r="AD9" s="85" t="s">
        <v>34</v>
      </c>
      <c r="AE9" s="81" t="s">
        <v>102</v>
      </c>
      <c r="AF9" s="73" t="s">
        <v>103</v>
      </c>
      <c r="AG9" s="147" t="s">
        <v>78</v>
      </c>
      <c r="AH9" s="48" t="s">
        <v>133</v>
      </c>
      <c r="AI9" s="49" t="s">
        <v>73</v>
      </c>
      <c r="AJ9" s="49"/>
      <c r="AK9" s="49"/>
      <c r="AL9" s="28" t="s">
        <v>55</v>
      </c>
      <c r="AM9" s="28" t="s">
        <v>28</v>
      </c>
      <c r="AN9" s="149" t="s">
        <v>85</v>
      </c>
      <c r="AO9" s="12"/>
      <c r="AP9" s="12" t="s">
        <v>114</v>
      </c>
      <c r="AQ9" s="98" t="s">
        <v>116</v>
      </c>
      <c r="AR9" s="12"/>
      <c r="AS9" s="100" t="s">
        <v>119</v>
      </c>
      <c r="AT9" s="125" t="s">
        <v>131</v>
      </c>
    </row>
    <row r="10" spans="1:46" ht="45" customHeight="1">
      <c r="A10" s="43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52" t="s">
        <v>105</v>
      </c>
      <c r="U10" s="43" t="s">
        <v>24</v>
      </c>
      <c r="V10" s="51" t="s">
        <v>81</v>
      </c>
      <c r="W10" s="78"/>
      <c r="X10" s="127" t="s">
        <v>139</v>
      </c>
      <c r="Y10" s="28" t="s">
        <v>132</v>
      </c>
      <c r="Z10" s="28" t="s">
        <v>133</v>
      </c>
      <c r="AA10" s="28" t="s">
        <v>134</v>
      </c>
      <c r="AB10" s="132"/>
      <c r="AC10" s="88"/>
      <c r="AD10" s="86"/>
      <c r="AE10" s="82"/>
      <c r="AF10" s="74"/>
      <c r="AG10" s="148"/>
      <c r="AH10" s="50" t="s">
        <v>139</v>
      </c>
      <c r="AI10" s="51" t="s">
        <v>121</v>
      </c>
      <c r="AJ10" s="106" t="s">
        <v>122</v>
      </c>
      <c r="AK10" s="106">
        <v>0.3</v>
      </c>
      <c r="AL10" s="28"/>
      <c r="AM10" s="28"/>
      <c r="AN10" s="150"/>
      <c r="AO10" s="12" t="s">
        <v>113</v>
      </c>
      <c r="AP10" s="99" t="s">
        <v>117</v>
      </c>
      <c r="AQ10" s="98" t="s">
        <v>115</v>
      </c>
      <c r="AR10" s="12" t="s">
        <v>118</v>
      </c>
      <c r="AS10" s="105" t="s">
        <v>120</v>
      </c>
      <c r="AT10" t="s">
        <v>130</v>
      </c>
    </row>
    <row r="11" spans="1:46" ht="48.75" customHeight="1">
      <c r="A11" s="13">
        <v>1</v>
      </c>
      <c r="B11" s="45" t="s">
        <v>40</v>
      </c>
      <c r="C11" s="54">
        <f>D11+K11</f>
        <v>3465.9</v>
      </c>
      <c r="D11" s="54">
        <f>E11+F11+G11+H11+I11+J11</f>
        <v>3372.5</v>
      </c>
      <c r="E11" s="67">
        <v>1308.1</v>
      </c>
      <c r="F11" s="67">
        <v>0</v>
      </c>
      <c r="G11" s="67">
        <v>179.7</v>
      </c>
      <c r="H11" s="67">
        <v>1854.7</v>
      </c>
      <c r="I11" s="67">
        <v>30</v>
      </c>
      <c r="J11" s="67">
        <v>0</v>
      </c>
      <c r="K11" s="54">
        <f>L11+M11+N11+O11+P11+Q11+R11</f>
        <v>93.4</v>
      </c>
      <c r="L11" s="67">
        <v>0</v>
      </c>
      <c r="M11" s="67">
        <v>77.4</v>
      </c>
      <c r="N11" s="67">
        <v>0</v>
      </c>
      <c r="O11" s="67">
        <v>0</v>
      </c>
      <c r="P11" s="67">
        <v>0</v>
      </c>
      <c r="Q11" s="67">
        <v>16</v>
      </c>
      <c r="R11" s="67">
        <v>0</v>
      </c>
      <c r="S11" s="67">
        <f aca="true" t="shared" si="0" ref="S11:S18">T11+U11+V11</f>
        <v>8239.5</v>
      </c>
      <c r="T11" s="67">
        <v>0</v>
      </c>
      <c r="U11" s="67">
        <v>0</v>
      </c>
      <c r="V11" s="68">
        <f>7433.5+806</f>
        <v>8239.5</v>
      </c>
      <c r="W11" s="79">
        <f>C11+S11</f>
        <v>11705.4</v>
      </c>
      <c r="X11" s="128">
        <f>2461-545</f>
        <v>1916</v>
      </c>
      <c r="Y11" s="134">
        <f>AB11+AC11+AD11+AE11+AF11+AG11+AK11-Z11-AA11-AH11</f>
        <v>9574.1</v>
      </c>
      <c r="Z11" s="134">
        <v>1998.8</v>
      </c>
      <c r="AA11" s="134">
        <v>258.9</v>
      </c>
      <c r="AB11" s="71">
        <v>4885</v>
      </c>
      <c r="AC11" s="89">
        <v>5091</v>
      </c>
      <c r="AD11" s="83"/>
      <c r="AE11" s="79">
        <v>590</v>
      </c>
      <c r="AF11" s="79">
        <v>0</v>
      </c>
      <c r="AG11" s="71"/>
      <c r="AH11" s="54">
        <v>545</v>
      </c>
      <c r="AI11" s="54">
        <f>16602-AB11-AC11-AE11</f>
        <v>6036</v>
      </c>
      <c r="AJ11" s="106">
        <v>0.3</v>
      </c>
      <c r="AK11" s="107">
        <f>AI11*AJ11</f>
        <v>1810.8</v>
      </c>
      <c r="AL11" s="54">
        <f>W11-Y11+X11</f>
        <v>4047.2999999999993</v>
      </c>
      <c r="AM11" s="55" t="b">
        <f>IF(AL11&lt;0,AL11)</f>
        <v>0</v>
      </c>
      <c r="AN11" s="56">
        <f>AM11/X26*U28</f>
        <v>0</v>
      </c>
      <c r="AO11" s="12">
        <v>806</v>
      </c>
      <c r="AP11" s="94">
        <f>AN11+AO11</f>
        <v>806</v>
      </c>
      <c r="AQ11" s="97">
        <f>AP11+AM11</f>
        <v>806</v>
      </c>
      <c r="AR11" s="12">
        <v>1589</v>
      </c>
      <c r="AS11" s="103">
        <f>AP11-AR11</f>
        <v>-783</v>
      </c>
      <c r="AT11">
        <f>AI11+AB11+AC11+AE11+AF11</f>
        <v>16602</v>
      </c>
    </row>
    <row r="12" spans="1:46" ht="48" customHeight="1">
      <c r="A12" s="46">
        <v>2</v>
      </c>
      <c r="B12" s="45" t="s">
        <v>41</v>
      </c>
      <c r="C12" s="54">
        <f aca="true" t="shared" si="1" ref="C12:C23">D12+K12</f>
        <v>7989.580000000001</v>
      </c>
      <c r="D12" s="54">
        <f aca="true" t="shared" si="2" ref="D12:D23">E12+F12+G12+H12+I12+J12</f>
        <v>7903.780000000001</v>
      </c>
      <c r="E12" s="67">
        <v>2653.78</v>
      </c>
      <c r="F12" s="67">
        <v>1219.4</v>
      </c>
      <c r="G12" s="67">
        <v>349.8</v>
      </c>
      <c r="H12" s="67">
        <v>3660.8</v>
      </c>
      <c r="I12" s="67">
        <v>20</v>
      </c>
      <c r="J12" s="67">
        <v>0</v>
      </c>
      <c r="K12" s="54">
        <f>L12+M12+N12+O12+P12+Q12+R12</f>
        <v>85.8</v>
      </c>
      <c r="L12" s="67">
        <v>20</v>
      </c>
      <c r="M12" s="67">
        <v>30</v>
      </c>
      <c r="N12" s="67">
        <v>0</v>
      </c>
      <c r="O12" s="67">
        <v>20.8</v>
      </c>
      <c r="P12" s="67">
        <v>0</v>
      </c>
      <c r="Q12" s="67">
        <v>15</v>
      </c>
      <c r="R12" s="67">
        <v>0</v>
      </c>
      <c r="S12" s="67">
        <f t="shared" si="0"/>
        <v>2702.5</v>
      </c>
      <c r="T12" s="67">
        <v>0</v>
      </c>
      <c r="U12" s="67">
        <v>0</v>
      </c>
      <c r="V12" s="68">
        <f>1966.4+736.1</f>
        <v>2702.5</v>
      </c>
      <c r="W12" s="79">
        <f aca="true" t="shared" si="3" ref="W12:W23">C12+S12</f>
        <v>10692.080000000002</v>
      </c>
      <c r="X12" s="128">
        <f>1661-785</f>
        <v>876</v>
      </c>
      <c r="Y12" s="134">
        <f aca="true" t="shared" si="4" ref="Y12:Y24">AB12+AC12+AD12+AE12+AF12+AG12+AK12-Z12-AA12-AH12</f>
        <v>9661.1</v>
      </c>
      <c r="Z12" s="134">
        <v>2292.9</v>
      </c>
      <c r="AA12" s="134">
        <v>351.3</v>
      </c>
      <c r="AB12" s="71">
        <v>3845</v>
      </c>
      <c r="AC12" s="89">
        <v>6339</v>
      </c>
      <c r="AD12" s="83"/>
      <c r="AE12" s="79">
        <v>500</v>
      </c>
      <c r="AF12" s="79">
        <v>0</v>
      </c>
      <c r="AG12" s="71"/>
      <c r="AH12" s="54">
        <v>785</v>
      </c>
      <c r="AI12" s="54">
        <f>18705-AB12-AC12-AE12-AF12</f>
        <v>8021</v>
      </c>
      <c r="AJ12" s="106">
        <v>0.3</v>
      </c>
      <c r="AK12" s="107">
        <f aca="true" t="shared" si="5" ref="AK12:AK24">AI12*AJ12</f>
        <v>2406.2999999999997</v>
      </c>
      <c r="AL12" s="54">
        <f aca="true" t="shared" si="6" ref="AL12:AL23">W12-Y12+X12</f>
        <v>1906.9800000000014</v>
      </c>
      <c r="AM12" s="55" t="b">
        <f aca="true" t="shared" si="7" ref="AM12:AM23">IF(AL12&lt;0,AL12)</f>
        <v>0</v>
      </c>
      <c r="AN12" s="56">
        <f>AM12/X26*U28</f>
        <v>0</v>
      </c>
      <c r="AO12" s="12">
        <v>736.1</v>
      </c>
      <c r="AP12" s="94">
        <f aca="true" t="shared" si="8" ref="AP12:AP23">AN12+AO12</f>
        <v>736.1</v>
      </c>
      <c r="AQ12" s="97">
        <f aca="true" t="shared" si="9" ref="AQ12:AQ23">AP12+AM12</f>
        <v>736.1</v>
      </c>
      <c r="AR12" s="12">
        <v>3491</v>
      </c>
      <c r="AS12" s="103">
        <f aca="true" t="shared" si="10" ref="AS12:AS23">AP12-AR12</f>
        <v>-2754.9</v>
      </c>
      <c r="AT12">
        <f aca="true" t="shared" si="11" ref="AT12:AT24">AI12+AB12+AC12+AE12+AF12</f>
        <v>18705</v>
      </c>
    </row>
    <row r="13" spans="1:46" ht="48.75" customHeight="1" hidden="1">
      <c r="A13" s="63">
        <v>0</v>
      </c>
      <c r="B13" s="64" t="s">
        <v>42</v>
      </c>
      <c r="C13" s="65">
        <f t="shared" si="1"/>
        <v>0</v>
      </c>
      <c r="D13" s="65">
        <f t="shared" si="2"/>
        <v>0</v>
      </c>
      <c r="E13" s="65"/>
      <c r="F13" s="65"/>
      <c r="G13" s="65"/>
      <c r="H13" s="65"/>
      <c r="I13" s="65"/>
      <c r="J13" s="65"/>
      <c r="K13" s="65">
        <f>L13+M13+N13+P13+Q13+R13</f>
        <v>0</v>
      </c>
      <c r="L13" s="65"/>
      <c r="M13" s="65"/>
      <c r="N13" s="65"/>
      <c r="O13" s="65"/>
      <c r="P13" s="65"/>
      <c r="Q13" s="65"/>
      <c r="R13" s="65"/>
      <c r="S13" s="65"/>
      <c r="T13" s="65"/>
      <c r="U13" s="65">
        <v>0</v>
      </c>
      <c r="V13" s="69"/>
      <c r="W13" s="75">
        <f t="shared" si="3"/>
        <v>0</v>
      </c>
      <c r="X13" s="129"/>
      <c r="Y13" s="134">
        <f t="shared" si="4"/>
        <v>0</v>
      </c>
      <c r="Z13" s="134"/>
      <c r="AA13" s="134"/>
      <c r="AB13" s="72"/>
      <c r="AC13" s="90"/>
      <c r="AD13" s="84"/>
      <c r="AE13" s="75"/>
      <c r="AF13" s="75"/>
      <c r="AG13" s="72"/>
      <c r="AH13" s="65"/>
      <c r="AI13" s="65"/>
      <c r="AJ13" s="106">
        <v>0.3</v>
      </c>
      <c r="AK13" s="107">
        <f t="shared" si="5"/>
        <v>0</v>
      </c>
      <c r="AL13" s="65">
        <f t="shared" si="6"/>
        <v>0</v>
      </c>
      <c r="AM13" s="55" t="b">
        <f t="shared" si="7"/>
        <v>0</v>
      </c>
      <c r="AN13" s="66">
        <f>AM13/X26*U28</f>
        <v>0</v>
      </c>
      <c r="AO13" s="12"/>
      <c r="AP13" s="94">
        <f t="shared" si="8"/>
        <v>0</v>
      </c>
      <c r="AQ13" s="97">
        <f t="shared" si="9"/>
        <v>0</v>
      </c>
      <c r="AR13" s="12"/>
      <c r="AS13" s="103">
        <f t="shared" si="10"/>
        <v>0</v>
      </c>
      <c r="AT13">
        <f t="shared" si="11"/>
        <v>0</v>
      </c>
    </row>
    <row r="14" spans="1:46" ht="48.75" customHeight="1">
      <c r="A14" s="46">
        <v>3</v>
      </c>
      <c r="B14" s="45" t="s">
        <v>43</v>
      </c>
      <c r="C14" s="54">
        <f t="shared" si="1"/>
        <v>1583</v>
      </c>
      <c r="D14" s="54">
        <f t="shared" si="2"/>
        <v>1571</v>
      </c>
      <c r="E14" s="67">
        <v>409</v>
      </c>
      <c r="F14" s="67">
        <v>0</v>
      </c>
      <c r="G14" s="67">
        <v>102</v>
      </c>
      <c r="H14" s="67">
        <v>1040</v>
      </c>
      <c r="I14" s="67">
        <v>20</v>
      </c>
      <c r="J14" s="67">
        <v>0</v>
      </c>
      <c r="K14" s="54">
        <f aca="true" t="shared" si="12" ref="K14:K23">L14+M14+N14+O14+P14+Q14+R14</f>
        <v>12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12</v>
      </c>
      <c r="R14" s="67">
        <v>0</v>
      </c>
      <c r="S14" s="67">
        <f t="shared" si="0"/>
        <v>8455.7</v>
      </c>
      <c r="T14" s="67">
        <v>0</v>
      </c>
      <c r="U14" s="67">
        <v>148.4</v>
      </c>
      <c r="V14" s="68">
        <f>7605.6+701.7</f>
        <v>8307.300000000001</v>
      </c>
      <c r="W14" s="79">
        <f t="shared" si="3"/>
        <v>10038.7</v>
      </c>
      <c r="X14" s="128">
        <f>628</f>
        <v>628</v>
      </c>
      <c r="Y14" s="134">
        <f t="shared" si="4"/>
        <v>12356</v>
      </c>
      <c r="Z14" s="134">
        <v>2292.9</v>
      </c>
      <c r="AA14" s="134">
        <v>110.7</v>
      </c>
      <c r="AB14" s="71">
        <v>4895</v>
      </c>
      <c r="AC14" s="89">
        <v>5799</v>
      </c>
      <c r="AD14" s="83"/>
      <c r="AE14" s="79">
        <v>729</v>
      </c>
      <c r="AF14" s="79">
        <v>0</v>
      </c>
      <c r="AG14" s="71"/>
      <c r="AH14" s="54">
        <v>0</v>
      </c>
      <c r="AI14" s="54">
        <f>22545-AB14-AC14-AE14-AF14</f>
        <v>11122</v>
      </c>
      <c r="AJ14" s="106">
        <v>0.3</v>
      </c>
      <c r="AK14" s="107">
        <f t="shared" si="5"/>
        <v>3336.6</v>
      </c>
      <c r="AL14" s="54">
        <f t="shared" si="6"/>
        <v>-1689.2999999999993</v>
      </c>
      <c r="AM14" s="55">
        <f t="shared" si="7"/>
        <v>-1689.2999999999993</v>
      </c>
      <c r="AN14" s="56">
        <f>AM14/X26*U28</f>
        <v>2535.4025743915754</v>
      </c>
      <c r="AO14" s="12">
        <v>701.7</v>
      </c>
      <c r="AP14" s="94">
        <f t="shared" si="8"/>
        <v>3237.102574391575</v>
      </c>
      <c r="AQ14" s="97">
        <f t="shared" si="9"/>
        <v>1547.802574391576</v>
      </c>
      <c r="AR14" s="12">
        <v>4563</v>
      </c>
      <c r="AS14" s="103">
        <f t="shared" si="10"/>
        <v>-1325.8974256084248</v>
      </c>
      <c r="AT14">
        <f t="shared" si="11"/>
        <v>22545</v>
      </c>
    </row>
    <row r="15" spans="1:46" ht="48.75" customHeight="1">
      <c r="A15" s="46">
        <v>4</v>
      </c>
      <c r="B15" s="45" t="s">
        <v>44</v>
      </c>
      <c r="C15" s="54">
        <f t="shared" si="1"/>
        <v>1528.1</v>
      </c>
      <c r="D15" s="54">
        <f>E15+F15+G15+H15+I15+J15</f>
        <v>1113.1</v>
      </c>
      <c r="E15" s="67">
        <v>500</v>
      </c>
      <c r="F15" s="67">
        <v>13.1</v>
      </c>
      <c r="G15" s="67">
        <v>100</v>
      </c>
      <c r="H15" s="67">
        <v>470</v>
      </c>
      <c r="I15" s="67">
        <v>30</v>
      </c>
      <c r="J15" s="67">
        <v>0</v>
      </c>
      <c r="K15" s="54">
        <f t="shared" si="12"/>
        <v>415</v>
      </c>
      <c r="L15" s="67">
        <v>0</v>
      </c>
      <c r="M15" s="67">
        <v>350</v>
      </c>
      <c r="N15" s="67">
        <v>0</v>
      </c>
      <c r="O15" s="67">
        <v>10</v>
      </c>
      <c r="P15" s="67">
        <v>0</v>
      </c>
      <c r="Q15" s="67">
        <v>5</v>
      </c>
      <c r="R15" s="67">
        <v>50</v>
      </c>
      <c r="S15" s="67">
        <f t="shared" si="0"/>
        <v>3864.4</v>
      </c>
      <c r="T15" s="67">
        <v>0</v>
      </c>
      <c r="U15" s="67">
        <v>0</v>
      </c>
      <c r="V15" s="68">
        <f>3387.3+477.1</f>
        <v>3864.4</v>
      </c>
      <c r="W15" s="79">
        <f t="shared" si="3"/>
        <v>5392.5</v>
      </c>
      <c r="X15" s="128">
        <f>921-869</f>
        <v>52</v>
      </c>
      <c r="Y15" s="134">
        <f t="shared" si="4"/>
        <v>10555.9</v>
      </c>
      <c r="Z15" s="134">
        <v>587.9</v>
      </c>
      <c r="AA15" s="134">
        <v>268.1</v>
      </c>
      <c r="AB15" s="71">
        <v>2578</v>
      </c>
      <c r="AC15" s="89">
        <v>6100</v>
      </c>
      <c r="AD15" s="83"/>
      <c r="AE15" s="79">
        <v>1815</v>
      </c>
      <c r="AF15" s="79">
        <v>683</v>
      </c>
      <c r="AG15" s="71"/>
      <c r="AH15" s="54">
        <v>869</v>
      </c>
      <c r="AI15" s="54">
        <f>14859-AB15-AC15-AE15-AF15</f>
        <v>3683</v>
      </c>
      <c r="AJ15" s="106">
        <v>0.3</v>
      </c>
      <c r="AK15" s="107">
        <f t="shared" si="5"/>
        <v>1104.8999999999999</v>
      </c>
      <c r="AL15" s="54">
        <f t="shared" si="6"/>
        <v>-5111.4</v>
      </c>
      <c r="AM15" s="55">
        <f t="shared" si="7"/>
        <v>-5111.4</v>
      </c>
      <c r="AN15" s="56">
        <f>AM15/X26*U28</f>
        <v>7671.495127416743</v>
      </c>
      <c r="AO15" s="12">
        <v>477.1</v>
      </c>
      <c r="AP15" s="94">
        <f t="shared" si="8"/>
        <v>8148.595127416744</v>
      </c>
      <c r="AQ15" s="97">
        <f t="shared" si="9"/>
        <v>3037.195127416744</v>
      </c>
      <c r="AR15" s="12">
        <v>5443</v>
      </c>
      <c r="AS15" s="103">
        <f t="shared" si="10"/>
        <v>2705.5951274167437</v>
      </c>
      <c r="AT15">
        <f t="shared" si="11"/>
        <v>14859</v>
      </c>
    </row>
    <row r="16" spans="1:46" ht="48.75" customHeight="1">
      <c r="A16" s="46">
        <v>5</v>
      </c>
      <c r="B16" s="45" t="s">
        <v>45</v>
      </c>
      <c r="C16" s="54">
        <f t="shared" si="1"/>
        <v>1038.7</v>
      </c>
      <c r="D16" s="54">
        <f t="shared" si="2"/>
        <v>939.7</v>
      </c>
      <c r="E16" s="67">
        <v>414.7</v>
      </c>
      <c r="F16" s="67">
        <v>0</v>
      </c>
      <c r="G16" s="67">
        <v>100</v>
      </c>
      <c r="H16" s="67">
        <v>410</v>
      </c>
      <c r="I16" s="67">
        <v>15</v>
      </c>
      <c r="J16" s="67">
        <v>0</v>
      </c>
      <c r="K16" s="54">
        <f t="shared" si="12"/>
        <v>99</v>
      </c>
      <c r="L16" s="67">
        <v>0</v>
      </c>
      <c r="M16" s="67">
        <v>0</v>
      </c>
      <c r="N16" s="67">
        <v>0</v>
      </c>
      <c r="O16" s="67">
        <v>15</v>
      </c>
      <c r="P16" s="67">
        <v>0</v>
      </c>
      <c r="Q16" s="67">
        <v>9</v>
      </c>
      <c r="R16" s="67">
        <v>75</v>
      </c>
      <c r="S16" s="67">
        <f t="shared" si="0"/>
        <v>6029.400000000001</v>
      </c>
      <c r="T16" s="67">
        <v>0</v>
      </c>
      <c r="U16" s="67">
        <v>488.8</v>
      </c>
      <c r="V16" s="68">
        <f>5070.6+470</f>
        <v>5540.6</v>
      </c>
      <c r="W16" s="79">
        <f t="shared" si="3"/>
        <v>7068.1</v>
      </c>
      <c r="X16" s="128">
        <f>413-374</f>
        <v>39</v>
      </c>
      <c r="Y16" s="134">
        <f t="shared" si="4"/>
        <v>9900.9</v>
      </c>
      <c r="Z16" s="134">
        <v>2351.7</v>
      </c>
      <c r="AA16" s="134">
        <v>128.6</v>
      </c>
      <c r="AB16" s="71">
        <v>2942</v>
      </c>
      <c r="AC16" s="89">
        <v>6924</v>
      </c>
      <c r="AD16" s="83"/>
      <c r="AE16" s="79">
        <v>1253</v>
      </c>
      <c r="AF16" s="79">
        <v>0</v>
      </c>
      <c r="AG16" s="71"/>
      <c r="AH16" s="54">
        <v>374</v>
      </c>
      <c r="AI16" s="54">
        <f>16573-AB16-AC16-AE16</f>
        <v>5454</v>
      </c>
      <c r="AJ16" s="106">
        <v>0.3</v>
      </c>
      <c r="AK16" s="107">
        <f t="shared" si="5"/>
        <v>1636.2</v>
      </c>
      <c r="AL16" s="54">
        <f t="shared" si="6"/>
        <v>-2793.7999999999993</v>
      </c>
      <c r="AM16" s="55">
        <f t="shared" si="7"/>
        <v>-2793.7999999999993</v>
      </c>
      <c r="AN16" s="56">
        <f>AM16/X26*U28</f>
        <v>4193.102298191668</v>
      </c>
      <c r="AO16" s="12">
        <v>470</v>
      </c>
      <c r="AP16" s="94">
        <f t="shared" si="8"/>
        <v>4663.102298191668</v>
      </c>
      <c r="AQ16" s="97">
        <f t="shared" si="9"/>
        <v>1869.3022981916683</v>
      </c>
      <c r="AR16" s="12">
        <v>5444</v>
      </c>
      <c r="AS16" s="103">
        <f t="shared" si="10"/>
        <v>-780.8977018083324</v>
      </c>
      <c r="AT16">
        <f t="shared" si="11"/>
        <v>16573</v>
      </c>
    </row>
    <row r="17" spans="1:46" ht="48.75" customHeight="1">
      <c r="A17" s="46">
        <v>6</v>
      </c>
      <c r="B17" s="45" t="s">
        <v>46</v>
      </c>
      <c r="C17" s="54">
        <f t="shared" si="1"/>
        <v>4806</v>
      </c>
      <c r="D17" s="54">
        <f t="shared" si="2"/>
        <v>4637</v>
      </c>
      <c r="E17" s="67">
        <v>3400</v>
      </c>
      <c r="F17" s="67">
        <v>27</v>
      </c>
      <c r="G17" s="67">
        <v>310</v>
      </c>
      <c r="H17" s="67">
        <v>880</v>
      </c>
      <c r="I17" s="67">
        <v>20</v>
      </c>
      <c r="J17" s="67">
        <v>0</v>
      </c>
      <c r="K17" s="54">
        <f t="shared" si="12"/>
        <v>169</v>
      </c>
      <c r="L17" s="67">
        <v>0</v>
      </c>
      <c r="M17" s="67">
        <v>0</v>
      </c>
      <c r="N17" s="67">
        <v>0</v>
      </c>
      <c r="O17" s="67">
        <v>100</v>
      </c>
      <c r="P17" s="67">
        <v>0</v>
      </c>
      <c r="Q17" s="67">
        <v>19</v>
      </c>
      <c r="R17" s="67">
        <v>50</v>
      </c>
      <c r="S17" s="67">
        <f t="shared" si="0"/>
        <v>3551.8999999999996</v>
      </c>
      <c r="T17" s="67">
        <v>0</v>
      </c>
      <c r="U17" s="67">
        <v>0</v>
      </c>
      <c r="V17" s="68">
        <f>3033.6+518.3</f>
        <v>3551.8999999999996</v>
      </c>
      <c r="W17" s="79">
        <f t="shared" si="3"/>
        <v>8357.9</v>
      </c>
      <c r="X17" s="128">
        <f>2634-380</f>
        <v>2254</v>
      </c>
      <c r="Y17" s="134">
        <f t="shared" si="4"/>
        <v>10573.6</v>
      </c>
      <c r="Z17" s="134">
        <v>881.9</v>
      </c>
      <c r="AA17" s="134">
        <v>289.7</v>
      </c>
      <c r="AB17" s="71">
        <v>4025</v>
      </c>
      <c r="AC17" s="89">
        <v>5838</v>
      </c>
      <c r="AD17" s="83"/>
      <c r="AE17" s="79">
        <v>584</v>
      </c>
      <c r="AF17" s="79">
        <v>0</v>
      </c>
      <c r="AG17" s="71"/>
      <c r="AH17" s="54">
        <v>380</v>
      </c>
      <c r="AI17" s="54">
        <f>16041-AB17-AC17-AE17</f>
        <v>5594</v>
      </c>
      <c r="AJ17" s="106">
        <v>0.3</v>
      </c>
      <c r="AK17" s="107">
        <f t="shared" si="5"/>
        <v>1678.2</v>
      </c>
      <c r="AL17" s="54">
        <f t="shared" si="6"/>
        <v>38.29999999999927</v>
      </c>
      <c r="AM17" s="55" t="b">
        <f t="shared" si="7"/>
        <v>0</v>
      </c>
      <c r="AN17" s="56">
        <f>AM17/X26*U28</f>
        <v>0</v>
      </c>
      <c r="AO17" s="12">
        <v>518.3</v>
      </c>
      <c r="AP17" s="94">
        <f t="shared" si="8"/>
        <v>518.3</v>
      </c>
      <c r="AQ17" s="97">
        <f t="shared" si="9"/>
        <v>518.3</v>
      </c>
      <c r="AR17" s="12">
        <v>3087</v>
      </c>
      <c r="AS17" s="103">
        <f t="shared" si="10"/>
        <v>-2568.7</v>
      </c>
      <c r="AT17">
        <f t="shared" si="11"/>
        <v>16041</v>
      </c>
    </row>
    <row r="18" spans="1:46" ht="48.75" customHeight="1">
      <c r="A18" s="46">
        <v>7</v>
      </c>
      <c r="B18" s="45" t="s">
        <v>47</v>
      </c>
      <c r="C18" s="54">
        <f t="shared" si="1"/>
        <v>358.5</v>
      </c>
      <c r="D18" s="54">
        <f t="shared" si="2"/>
        <v>355.5</v>
      </c>
      <c r="E18" s="67">
        <v>218</v>
      </c>
      <c r="F18" s="67">
        <v>0</v>
      </c>
      <c r="G18" s="67">
        <v>34.5</v>
      </c>
      <c r="H18" s="67">
        <v>88</v>
      </c>
      <c r="I18" s="67">
        <v>15</v>
      </c>
      <c r="J18" s="67">
        <v>0</v>
      </c>
      <c r="K18" s="54">
        <f t="shared" si="12"/>
        <v>3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3</v>
      </c>
      <c r="R18" s="67">
        <v>0</v>
      </c>
      <c r="S18" s="67">
        <f t="shared" si="0"/>
        <v>4462.5</v>
      </c>
      <c r="T18" s="67">
        <v>0</v>
      </c>
      <c r="U18" s="67">
        <v>535.5</v>
      </c>
      <c r="V18" s="68">
        <f>3588.2+338.8</f>
        <v>3927</v>
      </c>
      <c r="W18" s="79">
        <f t="shared" si="3"/>
        <v>4821</v>
      </c>
      <c r="X18" s="128">
        <f>2202-2198</f>
        <v>4</v>
      </c>
      <c r="Y18" s="134">
        <f t="shared" si="4"/>
        <v>3736.5</v>
      </c>
      <c r="Z18" s="134">
        <v>881.9</v>
      </c>
      <c r="AA18" s="134">
        <v>87.1</v>
      </c>
      <c r="AB18" s="71">
        <v>516</v>
      </c>
      <c r="AC18" s="89">
        <v>4568</v>
      </c>
      <c r="AD18" s="83"/>
      <c r="AE18" s="79">
        <v>207</v>
      </c>
      <c r="AF18" s="79">
        <v>0</v>
      </c>
      <c r="AG18" s="71"/>
      <c r="AH18" s="54">
        <v>2198</v>
      </c>
      <c r="AI18" s="54">
        <f>10666-AB18-AC18-AE18</f>
        <v>5375</v>
      </c>
      <c r="AJ18" s="106">
        <v>0.3</v>
      </c>
      <c r="AK18" s="107">
        <f t="shared" si="5"/>
        <v>1612.5</v>
      </c>
      <c r="AL18" s="54">
        <f t="shared" si="6"/>
        <v>1088.5</v>
      </c>
      <c r="AM18" s="55" t="b">
        <f t="shared" si="7"/>
        <v>0</v>
      </c>
      <c r="AN18" s="56">
        <f>AM18/X26*U28</f>
        <v>0</v>
      </c>
      <c r="AO18" s="12">
        <v>338.8</v>
      </c>
      <c r="AP18" s="94">
        <f t="shared" si="8"/>
        <v>338.8</v>
      </c>
      <c r="AQ18" s="97">
        <f t="shared" si="9"/>
        <v>338.8</v>
      </c>
      <c r="AR18" s="12">
        <v>2140</v>
      </c>
      <c r="AS18" s="103">
        <f t="shared" si="10"/>
        <v>-1801.2</v>
      </c>
      <c r="AT18">
        <f t="shared" si="11"/>
        <v>10666</v>
      </c>
    </row>
    <row r="19" spans="1:46" ht="48.75" customHeight="1">
      <c r="A19" s="13">
        <v>8</v>
      </c>
      <c r="B19" s="45" t="s">
        <v>48</v>
      </c>
      <c r="C19" s="54">
        <f t="shared" si="1"/>
        <v>72375.1</v>
      </c>
      <c r="D19" s="54">
        <f t="shared" si="2"/>
        <v>69896.5</v>
      </c>
      <c r="E19" s="67">
        <v>32595</v>
      </c>
      <c r="F19" s="67">
        <v>33794.5</v>
      </c>
      <c r="G19" s="67">
        <v>900</v>
      </c>
      <c r="H19" s="67">
        <v>2557</v>
      </c>
      <c r="I19" s="67">
        <v>50</v>
      </c>
      <c r="J19" s="67">
        <v>0</v>
      </c>
      <c r="K19" s="54">
        <f t="shared" si="12"/>
        <v>2478.6</v>
      </c>
      <c r="L19" s="67">
        <v>322</v>
      </c>
      <c r="M19" s="67">
        <v>730</v>
      </c>
      <c r="N19" s="67">
        <v>0</v>
      </c>
      <c r="O19" s="67">
        <v>7.1</v>
      </c>
      <c r="P19" s="67">
        <v>1350</v>
      </c>
      <c r="Q19" s="67">
        <v>0</v>
      </c>
      <c r="R19" s="67">
        <v>69.5</v>
      </c>
      <c r="S19" s="67">
        <f>T19+U19+V19</f>
        <v>0</v>
      </c>
      <c r="T19" s="67">
        <v>0</v>
      </c>
      <c r="U19" s="67">
        <v>0</v>
      </c>
      <c r="V19" s="68">
        <v>0</v>
      </c>
      <c r="W19" s="79">
        <f t="shared" si="3"/>
        <v>72375.1</v>
      </c>
      <c r="X19" s="128">
        <v>1913</v>
      </c>
      <c r="Y19" s="134">
        <f t="shared" si="4"/>
        <v>48287.1</v>
      </c>
      <c r="Z19" s="134">
        <v>1881.1</v>
      </c>
      <c r="AA19" s="134">
        <v>812.8</v>
      </c>
      <c r="AB19" s="71">
        <v>10055</v>
      </c>
      <c r="AC19" s="89">
        <v>26756</v>
      </c>
      <c r="AD19" s="83"/>
      <c r="AE19" s="79">
        <v>1399</v>
      </c>
      <c r="AF19" s="79">
        <v>0</v>
      </c>
      <c r="AG19" s="71"/>
      <c r="AH19" s="54">
        <v>0</v>
      </c>
      <c r="AI19" s="54">
        <f>80780-AB19-AC19-AE19</f>
        <v>42570</v>
      </c>
      <c r="AJ19" s="106">
        <v>0.3</v>
      </c>
      <c r="AK19" s="107">
        <f t="shared" si="5"/>
        <v>12771</v>
      </c>
      <c r="AL19" s="54">
        <f t="shared" si="6"/>
        <v>26001.000000000007</v>
      </c>
      <c r="AM19" s="55" t="b">
        <f t="shared" si="7"/>
        <v>0</v>
      </c>
      <c r="AN19" s="56">
        <f>AM19/X26*U28</f>
        <v>0</v>
      </c>
      <c r="AO19" s="12">
        <v>0</v>
      </c>
      <c r="AP19" s="94">
        <f t="shared" si="8"/>
        <v>0</v>
      </c>
      <c r="AQ19" s="97">
        <f t="shared" si="9"/>
        <v>0</v>
      </c>
      <c r="AR19" s="100">
        <v>4</v>
      </c>
      <c r="AS19" s="104">
        <f t="shared" si="10"/>
        <v>-4</v>
      </c>
      <c r="AT19">
        <f t="shared" si="11"/>
        <v>80780</v>
      </c>
    </row>
    <row r="20" spans="1:46" ht="48.75" customHeight="1">
      <c r="A20" s="13">
        <v>9</v>
      </c>
      <c r="B20" s="45" t="s">
        <v>49</v>
      </c>
      <c r="C20" s="54">
        <f t="shared" si="1"/>
        <v>11035.300000000001</v>
      </c>
      <c r="D20" s="54">
        <f t="shared" si="2"/>
        <v>10533.1</v>
      </c>
      <c r="E20" s="67">
        <v>8071.2</v>
      </c>
      <c r="F20" s="67">
        <v>0</v>
      </c>
      <c r="G20" s="67">
        <v>509.5</v>
      </c>
      <c r="H20" s="67">
        <v>1878.4</v>
      </c>
      <c r="I20" s="67">
        <v>74</v>
      </c>
      <c r="J20" s="67">
        <v>0</v>
      </c>
      <c r="K20" s="54">
        <f t="shared" si="12"/>
        <v>502.2</v>
      </c>
      <c r="L20" s="67">
        <v>177.2</v>
      </c>
      <c r="M20" s="67">
        <v>0</v>
      </c>
      <c r="N20" s="67">
        <v>0</v>
      </c>
      <c r="O20" s="67">
        <v>40</v>
      </c>
      <c r="P20" s="67">
        <v>30</v>
      </c>
      <c r="Q20" s="67">
        <v>15</v>
      </c>
      <c r="R20" s="67">
        <v>240</v>
      </c>
      <c r="S20" s="67">
        <f>T20+U20+V20</f>
        <v>13062.4</v>
      </c>
      <c r="T20" s="67">
        <v>0</v>
      </c>
      <c r="U20" s="67">
        <v>4848.9</v>
      </c>
      <c r="V20" s="68">
        <f>6588.8+1624.7</f>
        <v>8213.5</v>
      </c>
      <c r="W20" s="79">
        <f t="shared" si="3"/>
        <v>24097.7</v>
      </c>
      <c r="X20" s="128">
        <f>2839-652</f>
        <v>2187</v>
      </c>
      <c r="Y20" s="134">
        <f t="shared" si="4"/>
        <v>20115</v>
      </c>
      <c r="Z20" s="134">
        <v>2175.3</v>
      </c>
      <c r="AA20" s="134">
        <v>497.2</v>
      </c>
      <c r="AB20" s="71">
        <v>3192</v>
      </c>
      <c r="AC20" s="89">
        <v>12805</v>
      </c>
      <c r="AD20" s="83"/>
      <c r="AE20" s="79">
        <v>952</v>
      </c>
      <c r="AF20" s="79">
        <v>0</v>
      </c>
      <c r="AG20" s="71"/>
      <c r="AH20" s="54">
        <v>652</v>
      </c>
      <c r="AI20" s="54">
        <f>38584-AB20-AC20-AE20</f>
        <v>21635</v>
      </c>
      <c r="AJ20" s="106">
        <v>0.3</v>
      </c>
      <c r="AK20" s="107">
        <f t="shared" si="5"/>
        <v>6490.5</v>
      </c>
      <c r="AL20" s="54">
        <f t="shared" si="6"/>
        <v>6169.700000000001</v>
      </c>
      <c r="AM20" s="55" t="b">
        <f>IF(AL20&lt;0,AL20)</f>
        <v>0</v>
      </c>
      <c r="AN20" s="56">
        <f>AM20/X26*U28</f>
        <v>0</v>
      </c>
      <c r="AO20" s="12">
        <v>1624.7</v>
      </c>
      <c r="AP20" s="94">
        <f t="shared" si="8"/>
        <v>1624.7</v>
      </c>
      <c r="AQ20" s="97">
        <f t="shared" si="9"/>
        <v>1624.7</v>
      </c>
      <c r="AR20" s="101">
        <v>1465</v>
      </c>
      <c r="AS20" s="104">
        <f t="shared" si="10"/>
        <v>159.70000000000005</v>
      </c>
      <c r="AT20">
        <f t="shared" si="11"/>
        <v>38584</v>
      </c>
    </row>
    <row r="21" spans="1:46" ht="48.75" customHeight="1">
      <c r="A21" s="13">
        <v>10</v>
      </c>
      <c r="B21" s="45" t="s">
        <v>50</v>
      </c>
      <c r="C21" s="54">
        <f t="shared" si="1"/>
        <v>22581.5</v>
      </c>
      <c r="D21" s="54">
        <f t="shared" si="2"/>
        <v>22561.5</v>
      </c>
      <c r="E21" s="67">
        <v>22500</v>
      </c>
      <c r="F21" s="67">
        <v>0</v>
      </c>
      <c r="G21" s="67">
        <v>5.5</v>
      </c>
      <c r="H21" s="67">
        <v>16</v>
      </c>
      <c r="I21" s="67">
        <v>40</v>
      </c>
      <c r="J21" s="67">
        <v>0</v>
      </c>
      <c r="K21" s="54">
        <f t="shared" si="12"/>
        <v>20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20</v>
      </c>
      <c r="R21" s="67">
        <v>0</v>
      </c>
      <c r="S21" s="67">
        <f>T21+U21+V21</f>
        <v>0</v>
      </c>
      <c r="T21" s="67">
        <v>0</v>
      </c>
      <c r="U21" s="67">
        <v>0</v>
      </c>
      <c r="V21" s="68">
        <v>0</v>
      </c>
      <c r="W21" s="79">
        <f t="shared" si="3"/>
        <v>22581.5</v>
      </c>
      <c r="X21" s="128">
        <v>5067</v>
      </c>
      <c r="Y21" s="134">
        <f t="shared" si="4"/>
        <v>13561.56</v>
      </c>
      <c r="Z21" s="134">
        <v>587.84</v>
      </c>
      <c r="AA21" s="134">
        <v>315.4</v>
      </c>
      <c r="AB21" s="71">
        <v>0</v>
      </c>
      <c r="AC21" s="89">
        <v>9952</v>
      </c>
      <c r="AD21" s="83"/>
      <c r="AE21" s="79">
        <v>548</v>
      </c>
      <c r="AF21" s="79">
        <v>0</v>
      </c>
      <c r="AG21" s="71"/>
      <c r="AH21" s="54">
        <v>0</v>
      </c>
      <c r="AI21" s="54">
        <f>23716-AB21-AC21-AE21</f>
        <v>13216</v>
      </c>
      <c r="AJ21" s="106">
        <v>0.3</v>
      </c>
      <c r="AK21" s="107">
        <f t="shared" si="5"/>
        <v>3964.7999999999997</v>
      </c>
      <c r="AL21" s="54">
        <f t="shared" si="6"/>
        <v>14086.94</v>
      </c>
      <c r="AM21" s="55" t="b">
        <f t="shared" si="7"/>
        <v>0</v>
      </c>
      <c r="AN21" s="56">
        <f>AM21/X26*U28</f>
        <v>0</v>
      </c>
      <c r="AO21" s="12">
        <v>0</v>
      </c>
      <c r="AP21" s="94">
        <f t="shared" si="8"/>
        <v>0</v>
      </c>
      <c r="AQ21" s="97">
        <f t="shared" si="9"/>
        <v>0</v>
      </c>
      <c r="AR21" s="12">
        <v>0</v>
      </c>
      <c r="AS21" s="94">
        <f t="shared" si="10"/>
        <v>0</v>
      </c>
      <c r="AT21">
        <f t="shared" si="11"/>
        <v>23716</v>
      </c>
    </row>
    <row r="22" spans="1:46" ht="48.75" customHeight="1">
      <c r="A22" s="46">
        <v>11</v>
      </c>
      <c r="B22" s="45" t="s">
        <v>51</v>
      </c>
      <c r="C22" s="54">
        <f t="shared" si="1"/>
        <v>9809</v>
      </c>
      <c r="D22" s="54">
        <f t="shared" si="2"/>
        <v>9168</v>
      </c>
      <c r="E22" s="67">
        <v>6906</v>
      </c>
      <c r="F22" s="67">
        <v>0</v>
      </c>
      <c r="G22" s="67">
        <v>410</v>
      </c>
      <c r="H22" s="67">
        <v>1812</v>
      </c>
      <c r="I22" s="67">
        <v>40</v>
      </c>
      <c r="J22" s="67">
        <v>0</v>
      </c>
      <c r="K22" s="54">
        <f t="shared" si="12"/>
        <v>641</v>
      </c>
      <c r="L22" s="67">
        <v>390</v>
      </c>
      <c r="M22" s="67">
        <v>21</v>
      </c>
      <c r="N22" s="67">
        <v>0</v>
      </c>
      <c r="O22" s="67">
        <v>50</v>
      </c>
      <c r="P22" s="67">
        <v>105</v>
      </c>
      <c r="Q22" s="67">
        <v>25</v>
      </c>
      <c r="R22" s="67">
        <v>50</v>
      </c>
      <c r="S22" s="67">
        <f>T22+U22+V22</f>
        <v>12388.5</v>
      </c>
      <c r="T22" s="67">
        <v>0</v>
      </c>
      <c r="U22" s="67">
        <v>4332.6</v>
      </c>
      <c r="V22" s="68">
        <f>6621.8+1434.1</f>
        <v>8055.9</v>
      </c>
      <c r="W22" s="79">
        <f t="shared" si="3"/>
        <v>22197.5</v>
      </c>
      <c r="X22" s="128">
        <f>842-376</f>
        <v>466</v>
      </c>
      <c r="Y22" s="134">
        <f t="shared" si="4"/>
        <v>22057.100000000002</v>
      </c>
      <c r="Z22" s="134">
        <v>1940.1</v>
      </c>
      <c r="AA22" s="134">
        <v>499.1</v>
      </c>
      <c r="AB22" s="71">
        <v>8411</v>
      </c>
      <c r="AC22" s="89">
        <v>11485</v>
      </c>
      <c r="AD22" s="83"/>
      <c r="AE22" s="79">
        <v>419</v>
      </c>
      <c r="AF22" s="79">
        <v>0</v>
      </c>
      <c r="AG22" s="71"/>
      <c r="AH22" s="54">
        <v>376</v>
      </c>
      <c r="AI22" s="54">
        <f>35506-AB22-AC22-AE22</f>
        <v>15191</v>
      </c>
      <c r="AJ22" s="106">
        <v>0.3</v>
      </c>
      <c r="AK22" s="107">
        <f t="shared" si="5"/>
        <v>4557.3</v>
      </c>
      <c r="AL22" s="54">
        <f t="shared" si="6"/>
        <v>606.3999999999978</v>
      </c>
      <c r="AM22" s="55" t="b">
        <f t="shared" si="7"/>
        <v>0</v>
      </c>
      <c r="AN22" s="56">
        <f>AM22/X26*U28</f>
        <v>0</v>
      </c>
      <c r="AO22" s="12">
        <v>1434.1</v>
      </c>
      <c r="AP22" s="94">
        <f t="shared" si="8"/>
        <v>1434.1</v>
      </c>
      <c r="AQ22" s="97">
        <f t="shared" si="9"/>
        <v>1434.1</v>
      </c>
      <c r="AR22" s="12">
        <v>4949</v>
      </c>
      <c r="AS22" s="103">
        <f t="shared" si="10"/>
        <v>-3514.9</v>
      </c>
      <c r="AT22">
        <f t="shared" si="11"/>
        <v>35506</v>
      </c>
    </row>
    <row r="23" spans="1:46" ht="48.75" customHeight="1" thickBot="1">
      <c r="A23" s="13">
        <v>12</v>
      </c>
      <c r="B23" s="45" t="s">
        <v>52</v>
      </c>
      <c r="C23" s="54">
        <f t="shared" si="1"/>
        <v>3364</v>
      </c>
      <c r="D23" s="54">
        <f t="shared" si="2"/>
        <v>3149</v>
      </c>
      <c r="E23" s="67">
        <v>1313</v>
      </c>
      <c r="F23" s="67">
        <v>10</v>
      </c>
      <c r="G23" s="67">
        <v>300</v>
      </c>
      <c r="H23" s="67">
        <v>1500</v>
      </c>
      <c r="I23" s="67">
        <v>25</v>
      </c>
      <c r="J23" s="67">
        <v>1</v>
      </c>
      <c r="K23" s="54">
        <f t="shared" si="12"/>
        <v>215</v>
      </c>
      <c r="L23" s="67">
        <v>85</v>
      </c>
      <c r="M23" s="67">
        <v>0</v>
      </c>
      <c r="N23" s="67">
        <v>0</v>
      </c>
      <c r="O23" s="67">
        <v>0</v>
      </c>
      <c r="P23" s="67">
        <v>100</v>
      </c>
      <c r="Q23" s="67">
        <v>30</v>
      </c>
      <c r="R23" s="67">
        <v>0</v>
      </c>
      <c r="S23" s="67">
        <f>T23+U23+V23</f>
        <v>15053.2</v>
      </c>
      <c r="T23" s="67">
        <v>0</v>
      </c>
      <c r="U23" s="67">
        <v>9008.4</v>
      </c>
      <c r="V23" s="92">
        <f>4759.1+1285.7</f>
        <v>6044.8</v>
      </c>
      <c r="W23" s="79">
        <f t="shared" si="3"/>
        <v>18417.2</v>
      </c>
      <c r="X23" s="128">
        <f>1035-967</f>
        <v>68</v>
      </c>
      <c r="Y23" s="134">
        <f t="shared" si="4"/>
        <v>13994.6</v>
      </c>
      <c r="Z23" s="134">
        <v>1646.2</v>
      </c>
      <c r="AA23" s="134">
        <v>341.4</v>
      </c>
      <c r="AB23" s="71">
        <v>5057</v>
      </c>
      <c r="AC23" s="89">
        <v>8224</v>
      </c>
      <c r="AD23" s="83"/>
      <c r="AE23" s="79">
        <v>853</v>
      </c>
      <c r="AF23" s="79">
        <v>0</v>
      </c>
      <c r="AG23" s="71"/>
      <c r="AH23" s="54">
        <v>967</v>
      </c>
      <c r="AI23" s="54">
        <f>23518-AB23-AC23-AE23</f>
        <v>9384</v>
      </c>
      <c r="AJ23" s="106">
        <v>0.3</v>
      </c>
      <c r="AK23" s="107">
        <f t="shared" si="5"/>
        <v>2815.2</v>
      </c>
      <c r="AL23" s="54">
        <f t="shared" si="6"/>
        <v>4490.6</v>
      </c>
      <c r="AM23" s="55" t="b">
        <f t="shared" si="7"/>
        <v>0</v>
      </c>
      <c r="AN23" s="56">
        <f>AM23/X26*U28</f>
        <v>0</v>
      </c>
      <c r="AO23" s="12">
        <v>1285.7</v>
      </c>
      <c r="AP23" s="94">
        <f t="shared" si="8"/>
        <v>1285.7</v>
      </c>
      <c r="AQ23" s="97">
        <f t="shared" si="9"/>
        <v>1285.7</v>
      </c>
      <c r="AR23" s="102">
        <v>1050</v>
      </c>
      <c r="AS23" s="104">
        <f t="shared" si="10"/>
        <v>235.70000000000005</v>
      </c>
      <c r="AT23">
        <f t="shared" si="11"/>
        <v>23518</v>
      </c>
    </row>
    <row r="24" spans="1:46" ht="16.5" customHeight="1" thickBot="1">
      <c r="A24" s="13"/>
      <c r="B24" s="13"/>
      <c r="C24" s="54">
        <f aca="true" t="shared" si="13" ref="C24:T24">SUM(C11:C23)</f>
        <v>139934.68</v>
      </c>
      <c r="D24" s="54">
        <f t="shared" si="13"/>
        <v>135200.68</v>
      </c>
      <c r="E24" s="54">
        <f t="shared" si="13"/>
        <v>80288.78</v>
      </c>
      <c r="F24" s="54">
        <f t="shared" si="13"/>
        <v>35064</v>
      </c>
      <c r="G24" s="54">
        <f t="shared" si="13"/>
        <v>3301</v>
      </c>
      <c r="H24" s="54">
        <f t="shared" si="13"/>
        <v>16166.9</v>
      </c>
      <c r="I24" s="54">
        <f t="shared" si="13"/>
        <v>379</v>
      </c>
      <c r="J24" s="54">
        <f t="shared" si="13"/>
        <v>1</v>
      </c>
      <c r="K24" s="54">
        <f t="shared" si="13"/>
        <v>4734</v>
      </c>
      <c r="L24" s="54">
        <f t="shared" si="13"/>
        <v>994.2</v>
      </c>
      <c r="M24" s="54">
        <f t="shared" si="13"/>
        <v>1208.4</v>
      </c>
      <c r="N24" s="54">
        <f t="shared" si="13"/>
        <v>0</v>
      </c>
      <c r="O24" s="54"/>
      <c r="P24" s="54">
        <f t="shared" si="13"/>
        <v>1585</v>
      </c>
      <c r="Q24" s="54">
        <f t="shared" si="13"/>
        <v>169</v>
      </c>
      <c r="R24" s="54">
        <f t="shared" si="13"/>
        <v>534.5</v>
      </c>
      <c r="S24" s="54">
        <f t="shared" si="13"/>
        <v>77810</v>
      </c>
      <c r="T24" s="54">
        <f t="shared" si="13"/>
        <v>0</v>
      </c>
      <c r="U24" s="70">
        <f aca="true" t="shared" si="14" ref="U24:AL24">SUM(U11:U23)</f>
        <v>19362.6</v>
      </c>
      <c r="V24" s="93">
        <f t="shared" si="14"/>
        <v>58447.40000000001</v>
      </c>
      <c r="W24" s="80">
        <f t="shared" si="14"/>
        <v>217744.68000000002</v>
      </c>
      <c r="X24" s="130">
        <f t="shared" si="14"/>
        <v>15470</v>
      </c>
      <c r="Y24" s="134">
        <f t="shared" si="4"/>
        <v>184373.46</v>
      </c>
      <c r="Z24" s="135">
        <f t="shared" si="14"/>
        <v>19518.54</v>
      </c>
      <c r="AA24" s="135">
        <f t="shared" si="14"/>
        <v>3960.2999999999997</v>
      </c>
      <c r="AB24" s="133">
        <f t="shared" si="14"/>
        <v>50401</v>
      </c>
      <c r="AC24" s="91">
        <f t="shared" si="14"/>
        <v>109881</v>
      </c>
      <c r="AD24" s="83">
        <f t="shared" si="14"/>
        <v>0</v>
      </c>
      <c r="AE24" s="76">
        <f t="shared" si="14"/>
        <v>9849</v>
      </c>
      <c r="AF24" s="76">
        <f t="shared" si="14"/>
        <v>683</v>
      </c>
      <c r="AG24" s="71">
        <f t="shared" si="14"/>
        <v>0</v>
      </c>
      <c r="AH24" s="54">
        <f t="shared" si="14"/>
        <v>7146</v>
      </c>
      <c r="AI24" s="54">
        <f t="shared" si="14"/>
        <v>147281</v>
      </c>
      <c r="AJ24" s="106">
        <v>0.3</v>
      </c>
      <c r="AK24" s="107">
        <f t="shared" si="5"/>
        <v>44184.299999999996</v>
      </c>
      <c r="AL24" s="54">
        <f t="shared" si="14"/>
        <v>48841.22000000001</v>
      </c>
      <c r="AM24" s="55">
        <f aca="true" t="shared" si="15" ref="AM24:AS24">SUM(AM11:AM23)</f>
        <v>-9594.499999999998</v>
      </c>
      <c r="AN24" s="95">
        <f t="shared" si="15"/>
        <v>14399.999999999985</v>
      </c>
      <c r="AO24" s="96">
        <f t="shared" si="15"/>
        <v>8392.5</v>
      </c>
      <c r="AP24" s="97">
        <f t="shared" si="15"/>
        <v>22792.499999999985</v>
      </c>
      <c r="AQ24" s="97">
        <f t="shared" si="15"/>
        <v>13197.999999999989</v>
      </c>
      <c r="AR24" s="97">
        <f t="shared" si="15"/>
        <v>33225</v>
      </c>
      <c r="AS24" s="97">
        <f t="shared" si="15"/>
        <v>-10432.500000000013</v>
      </c>
      <c r="AT24">
        <f t="shared" si="11"/>
        <v>318095</v>
      </c>
    </row>
    <row r="25" spans="1:40" ht="16.5" customHeight="1">
      <c r="A25" s="47"/>
      <c r="B25" s="4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09"/>
      <c r="U25" s="109" t="s">
        <v>67</v>
      </c>
      <c r="V25" s="109"/>
      <c r="W25" s="110">
        <f>SUM(W11:W23)-W23-W21-W20-W19-W11-W22-W12-W17-W18</f>
        <v>22499.299999999996</v>
      </c>
      <c r="X25" s="110">
        <f>SUM(X11:X23)-X23-X21-X20-X19-X11-X22-X12-X17-X18</f>
        <v>719</v>
      </c>
      <c r="Y25" s="110">
        <f>SUM(Y11:Y23)-Y23-Y21-Y20-Y19-Y11-Y22-Y12-Y17-Y18</f>
        <v>32812.8</v>
      </c>
      <c r="Z25" s="108"/>
      <c r="AA25" s="108"/>
      <c r="AB25" s="109"/>
      <c r="AC25" s="109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7">
        <f>SUM(AN11:AN23)</f>
        <v>14399.999999999985</v>
      </c>
    </row>
    <row r="26" spans="1:40" ht="16.5" customHeight="1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09"/>
      <c r="U26" s="109" t="s">
        <v>68</v>
      </c>
      <c r="V26" s="109"/>
      <c r="W26" s="111"/>
      <c r="X26" s="112">
        <f>W25-Y25+X25</f>
        <v>-9594.500000000007</v>
      </c>
      <c r="Y26" s="111"/>
      <c r="Z26" s="111"/>
      <c r="AA26" s="111"/>
      <c r="AB26" s="109"/>
      <c r="AC26" s="109"/>
      <c r="AD26" s="58"/>
      <c r="AE26" s="58"/>
      <c r="AF26" s="58" t="s">
        <v>79</v>
      </c>
      <c r="AG26" s="58"/>
      <c r="AH26" s="58"/>
      <c r="AI26" s="58"/>
      <c r="AJ26" s="58"/>
      <c r="AK26" s="58"/>
      <c r="AL26" s="58"/>
      <c r="AM26" s="58"/>
      <c r="AN26" s="57"/>
    </row>
    <row r="27" spans="3:40" ht="1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113"/>
      <c r="U27" s="113" t="s">
        <v>112</v>
      </c>
      <c r="V27" s="113">
        <v>8392.5</v>
      </c>
      <c r="W27" s="113"/>
      <c r="X27" s="113"/>
      <c r="Y27" s="113"/>
      <c r="Z27" s="113"/>
      <c r="AA27" s="113"/>
      <c r="AB27" s="113"/>
      <c r="AC27" s="113"/>
      <c r="AD27" s="60"/>
      <c r="AE27" s="60"/>
      <c r="AF27" s="58"/>
      <c r="AG27" s="57"/>
      <c r="AH27" s="57"/>
      <c r="AI27" s="57"/>
      <c r="AJ27" s="57"/>
      <c r="AK27" s="57"/>
      <c r="AL27" s="57"/>
      <c r="AM27" s="57"/>
      <c r="AN27" s="57"/>
    </row>
    <row r="28" spans="3:40" ht="1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 t="s">
        <v>70</v>
      </c>
      <c r="T28" s="114"/>
      <c r="U28" s="115">
        <v>14400</v>
      </c>
      <c r="V28" s="114"/>
      <c r="W28" s="114"/>
      <c r="X28" s="114"/>
      <c r="Y28" s="114"/>
      <c r="Z28" s="114"/>
      <c r="AA28" s="114"/>
      <c r="AB28" s="114"/>
      <c r="AC28" s="114"/>
      <c r="AD28" s="59"/>
      <c r="AE28" s="59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20:40" ht="15" hidden="1">
      <c r="T29" s="116"/>
      <c r="U29" s="117"/>
      <c r="V29" s="116"/>
      <c r="W29" s="116"/>
      <c r="X29" s="116"/>
      <c r="Y29" s="116"/>
      <c r="Z29" s="116"/>
      <c r="AA29" s="116"/>
      <c r="AB29" s="116"/>
      <c r="AC29" s="116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20:40" ht="15"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F30" s="47"/>
      <c r="AG30" s="47"/>
      <c r="AH30" s="47"/>
      <c r="AI30" s="47"/>
      <c r="AJ30" s="47"/>
      <c r="AK30" s="47"/>
      <c r="AL30" s="47"/>
      <c r="AM30" s="47"/>
      <c r="AN30" s="47"/>
    </row>
  </sheetData>
  <sheetProtection/>
  <mergeCells count="2">
    <mergeCell ref="AG9:AG10"/>
    <mergeCell ref="AN9:AN10"/>
  </mergeCells>
  <printOptions/>
  <pageMargins left="0.31496062992125984" right="0.1968503937007874" top="0.15748031496062992" bottom="0.15748031496062992" header="0.31496062992125984" footer="0.31496062992125984"/>
  <pageSetup fitToHeight="1" fitToWidth="1" horizontalDpi="180" verticalDpi="18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9"/>
  <sheetViews>
    <sheetView zoomScalePageLayoutView="0" workbookViewId="0" topLeftCell="A1">
      <selection activeCell="I6" sqref="I6:I19"/>
    </sheetView>
  </sheetViews>
  <sheetFormatPr defaultColWidth="9.140625" defaultRowHeight="15"/>
  <cols>
    <col min="2" max="2" width="26.57421875" style="0" customWidth="1"/>
    <col min="11" max="11" width="14.8515625" style="0" customWidth="1"/>
    <col min="12" max="12" width="17.00390625" style="0" customWidth="1"/>
  </cols>
  <sheetData>
    <row r="4" spans="1:12" ht="15">
      <c r="A4" s="118" t="str">
        <f>'Расчет -30%'!A9</f>
        <v>№</v>
      </c>
      <c r="B4" s="118" t="str">
        <f>'Расчет -30%'!B9</f>
        <v>Наименование</v>
      </c>
      <c r="C4" s="121">
        <v>2017</v>
      </c>
      <c r="D4" s="121">
        <v>2017</v>
      </c>
      <c r="E4" s="121">
        <v>2017</v>
      </c>
      <c r="F4" s="102">
        <v>2017</v>
      </c>
      <c r="G4" s="121">
        <v>2018</v>
      </c>
      <c r="H4" s="121">
        <v>2018</v>
      </c>
      <c r="I4" s="121">
        <v>2018</v>
      </c>
      <c r="J4" s="102">
        <v>2018</v>
      </c>
      <c r="K4" s="102" t="s">
        <v>126</v>
      </c>
      <c r="L4" s="12" t="s">
        <v>128</v>
      </c>
    </row>
    <row r="5" spans="1:12" ht="15">
      <c r="A5" s="118">
        <f>'Расчет -30%'!A10</f>
        <v>0</v>
      </c>
      <c r="B5" s="118">
        <f>'Расчет -30%'!B10</f>
        <v>0</v>
      </c>
      <c r="C5" s="121" t="s">
        <v>123</v>
      </c>
      <c r="D5" s="121" t="s">
        <v>124</v>
      </c>
      <c r="E5" s="121" t="s">
        <v>125</v>
      </c>
      <c r="F5" s="102" t="s">
        <v>114</v>
      </c>
      <c r="G5" s="121" t="s">
        <v>123</v>
      </c>
      <c r="H5" s="121" t="s">
        <v>124</v>
      </c>
      <c r="I5" s="121" t="s">
        <v>125</v>
      </c>
      <c r="J5" s="102" t="s">
        <v>114</v>
      </c>
      <c r="K5" s="102" t="s">
        <v>127</v>
      </c>
      <c r="L5" s="119" t="s">
        <v>129</v>
      </c>
    </row>
    <row r="6" spans="1:12" ht="15">
      <c r="A6" s="118">
        <f>'Расчет -30%'!A11</f>
        <v>1</v>
      </c>
      <c r="B6" s="118" t="str">
        <f>'Расчет -30%'!B11</f>
        <v>Большееланское сел.пос. </v>
      </c>
      <c r="C6" s="122">
        <v>0</v>
      </c>
      <c r="D6" s="122">
        <v>4126.2</v>
      </c>
      <c r="E6" s="122">
        <v>3150.2</v>
      </c>
      <c r="F6" s="100">
        <f>C6+D6+E6</f>
        <v>7276.4</v>
      </c>
      <c r="G6" s="122"/>
      <c r="H6" s="122">
        <v>8239.5</v>
      </c>
      <c r="I6" s="123">
        <f>'Расчет -30%'!AN11</f>
        <v>0</v>
      </c>
      <c r="J6" s="103">
        <f>G6+H6+I6</f>
        <v>8239.5</v>
      </c>
      <c r="K6" s="100">
        <f>'Расчет -30%'!X11</f>
        <v>1916</v>
      </c>
      <c r="L6" s="94">
        <f>J6+K6-F6</f>
        <v>2879.1000000000004</v>
      </c>
    </row>
    <row r="7" spans="1:12" ht="15">
      <c r="A7" s="118">
        <v>2</v>
      </c>
      <c r="B7" s="118" t="str">
        <f>'Расчет -30%'!B12</f>
        <v>Железнодорожное сел.пос. </v>
      </c>
      <c r="C7" s="122"/>
      <c r="D7" s="122">
        <v>4074.7</v>
      </c>
      <c r="E7" s="122">
        <v>0</v>
      </c>
      <c r="F7" s="100">
        <f aca="true" t="shared" si="0" ref="F7:F19">C7+D7+E7</f>
        <v>4074.7</v>
      </c>
      <c r="G7" s="122"/>
      <c r="H7" s="122">
        <v>2702.5</v>
      </c>
      <c r="I7" s="123">
        <f>'Расчет -30%'!AN12</f>
        <v>0</v>
      </c>
      <c r="J7" s="103">
        <f aca="true" t="shared" si="1" ref="J7:J19">G7+H7+I7</f>
        <v>2702.5</v>
      </c>
      <c r="K7" s="100">
        <f>'Расчет -30%'!X12</f>
        <v>876</v>
      </c>
      <c r="L7" s="94">
        <f aca="true" t="shared" si="2" ref="L7:L18">J7+K7-F7</f>
        <v>-496.1999999999998</v>
      </c>
    </row>
    <row r="8" spans="1:12" ht="15">
      <c r="A8" s="118">
        <f>'Расчет -30%'!A13</f>
        <v>0</v>
      </c>
      <c r="B8" s="118" t="str">
        <f>'Расчет -30%'!B13</f>
        <v>Мальтинское сел.пос.</v>
      </c>
      <c r="C8" s="122">
        <v>0</v>
      </c>
      <c r="D8" s="122">
        <v>7222.8</v>
      </c>
      <c r="E8" s="122">
        <v>0</v>
      </c>
      <c r="F8" s="100">
        <f t="shared" si="0"/>
        <v>7222.8</v>
      </c>
      <c r="G8" s="122"/>
      <c r="H8" s="122">
        <v>0</v>
      </c>
      <c r="I8" s="123">
        <f>'Расчет -30%'!AN13</f>
        <v>0</v>
      </c>
      <c r="J8" s="103">
        <f t="shared" si="1"/>
        <v>0</v>
      </c>
      <c r="K8" s="100">
        <f>'Расчет -30%'!X13</f>
        <v>0</v>
      </c>
      <c r="L8" s="94">
        <f t="shared" si="2"/>
        <v>-7222.8</v>
      </c>
    </row>
    <row r="9" spans="1:12" ht="15">
      <c r="A9" s="118">
        <f>'Расчет -30%'!A14</f>
        <v>3</v>
      </c>
      <c r="B9" s="118" t="str">
        <f>'Расчет -30%'!B14</f>
        <v>Новожилкинское сел.пос.</v>
      </c>
      <c r="C9" s="122">
        <v>251.5</v>
      </c>
      <c r="D9" s="122">
        <v>9851</v>
      </c>
      <c r="E9" s="122">
        <v>3482.7</v>
      </c>
      <c r="F9" s="100">
        <f t="shared" si="0"/>
        <v>13585.2</v>
      </c>
      <c r="G9" s="122">
        <v>148.4</v>
      </c>
      <c r="H9" s="122">
        <v>8307.3</v>
      </c>
      <c r="I9" s="123">
        <f>'Расчет -30%'!AN14</f>
        <v>2535.4025743915754</v>
      </c>
      <c r="J9" s="103">
        <f t="shared" si="1"/>
        <v>10991.102574391574</v>
      </c>
      <c r="K9" s="100">
        <f>'Расчет -30%'!X14</f>
        <v>628</v>
      </c>
      <c r="L9" s="94">
        <f t="shared" si="2"/>
        <v>-1966.0974256084264</v>
      </c>
    </row>
    <row r="10" spans="1:12" ht="15">
      <c r="A10" s="118">
        <f>'Расчет -30%'!A15</f>
        <v>4</v>
      </c>
      <c r="B10" s="118" t="str">
        <f>'Расчет -30%'!B15</f>
        <v>Новомальтинское сел.пос.</v>
      </c>
      <c r="C10" s="122">
        <v>0</v>
      </c>
      <c r="D10" s="122">
        <v>5909.8</v>
      </c>
      <c r="E10" s="122">
        <v>4845.5</v>
      </c>
      <c r="F10" s="100">
        <f t="shared" si="0"/>
        <v>10755.3</v>
      </c>
      <c r="G10" s="122"/>
      <c r="H10" s="122">
        <v>3864.4</v>
      </c>
      <c r="I10" s="123">
        <f>'Расчет -30%'!AN15</f>
        <v>7671.495127416743</v>
      </c>
      <c r="J10" s="103">
        <f t="shared" si="1"/>
        <v>11535.895127416743</v>
      </c>
      <c r="K10" s="100">
        <f>'Расчет -30%'!X15</f>
        <v>52</v>
      </c>
      <c r="L10" s="94">
        <f t="shared" si="2"/>
        <v>832.5951274167437</v>
      </c>
    </row>
    <row r="11" spans="1:12" ht="15">
      <c r="A11" s="118">
        <f>'Расчет -30%'!A16</f>
        <v>5</v>
      </c>
      <c r="B11" s="118" t="str">
        <f>'Расчет -30%'!B16</f>
        <v>Раздольинское сел.пос.</v>
      </c>
      <c r="C11" s="122">
        <v>243.9</v>
      </c>
      <c r="D11" s="122">
        <v>3983.4</v>
      </c>
      <c r="E11" s="122">
        <v>5732.3</v>
      </c>
      <c r="F11" s="100">
        <f t="shared" si="0"/>
        <v>9959.6</v>
      </c>
      <c r="G11" s="122">
        <v>488.8</v>
      </c>
      <c r="H11" s="122">
        <v>5540.6</v>
      </c>
      <c r="I11" s="123">
        <f>'Расчет -30%'!AN16</f>
        <v>4193.102298191668</v>
      </c>
      <c r="J11" s="103">
        <f t="shared" si="1"/>
        <v>10222.502298191668</v>
      </c>
      <c r="K11" s="100">
        <f>'Расчет -30%'!X16</f>
        <v>39</v>
      </c>
      <c r="L11" s="94">
        <f t="shared" si="2"/>
        <v>301.9022981916678</v>
      </c>
    </row>
    <row r="12" spans="1:12" ht="15">
      <c r="A12" s="118">
        <f>'Расчет -30%'!A17</f>
        <v>6</v>
      </c>
      <c r="B12" s="118" t="str">
        <f>'Расчет -30%'!B17</f>
        <v>Сосновское сел.пос.</v>
      </c>
      <c r="C12" s="122">
        <v>0</v>
      </c>
      <c r="D12" s="122">
        <v>5322.6</v>
      </c>
      <c r="E12" s="122">
        <v>2910.7</v>
      </c>
      <c r="F12" s="100">
        <f t="shared" si="0"/>
        <v>8233.3</v>
      </c>
      <c r="G12" s="122"/>
      <c r="H12" s="122">
        <v>3551.9</v>
      </c>
      <c r="I12" s="123">
        <f>'Расчет -30%'!AN17</f>
        <v>0</v>
      </c>
      <c r="J12" s="103">
        <f t="shared" si="1"/>
        <v>3551.9</v>
      </c>
      <c r="K12" s="100">
        <f>'Расчет -30%'!X17</f>
        <v>2254</v>
      </c>
      <c r="L12" s="94">
        <f t="shared" si="2"/>
        <v>-2427.3999999999996</v>
      </c>
    </row>
    <row r="13" spans="1:12" ht="15">
      <c r="A13" s="118">
        <f>'Расчет -30%'!A18</f>
        <v>7</v>
      </c>
      <c r="B13" s="118" t="str">
        <f>'Расчет -30%'!B18</f>
        <v>Тальянское сел.пос.</v>
      </c>
      <c r="C13" s="122">
        <v>257.9</v>
      </c>
      <c r="D13" s="122">
        <v>2374.8</v>
      </c>
      <c r="E13" s="122">
        <v>3128.6</v>
      </c>
      <c r="F13" s="100">
        <f t="shared" si="0"/>
        <v>5761.3</v>
      </c>
      <c r="G13" s="122">
        <v>535.5</v>
      </c>
      <c r="H13" s="122">
        <v>3927</v>
      </c>
      <c r="I13" s="123">
        <f>'Расчет -30%'!AN18</f>
        <v>0</v>
      </c>
      <c r="J13" s="103">
        <f t="shared" si="1"/>
        <v>4462.5</v>
      </c>
      <c r="K13" s="100">
        <f>'Расчет -30%'!X18</f>
        <v>4</v>
      </c>
      <c r="L13" s="94">
        <f t="shared" si="2"/>
        <v>-1294.8000000000002</v>
      </c>
    </row>
    <row r="14" spans="1:12" ht="15">
      <c r="A14" s="118">
        <f>'Расчет -30%'!A19</f>
        <v>8</v>
      </c>
      <c r="B14" s="118" t="str">
        <f>'Расчет -30%'!B19</f>
        <v>Белореченское гор.пос. </v>
      </c>
      <c r="C14" s="122">
        <v>0</v>
      </c>
      <c r="D14" s="122">
        <v>0</v>
      </c>
      <c r="E14" s="122">
        <v>0</v>
      </c>
      <c r="F14" s="100">
        <f t="shared" si="0"/>
        <v>0</v>
      </c>
      <c r="G14" s="122"/>
      <c r="H14" s="122">
        <v>0</v>
      </c>
      <c r="I14" s="123">
        <f>'Расчет -30%'!AN19</f>
        <v>0</v>
      </c>
      <c r="J14" s="103">
        <f t="shared" si="1"/>
        <v>0</v>
      </c>
      <c r="K14" s="100">
        <f>'Расчет -30%'!X19</f>
        <v>1913</v>
      </c>
      <c r="L14" s="94">
        <f t="shared" si="2"/>
        <v>1913</v>
      </c>
    </row>
    <row r="15" spans="1:12" ht="15">
      <c r="A15" s="118">
        <f>'Расчет -30%'!A20</f>
        <v>9</v>
      </c>
      <c r="B15" s="118" t="str">
        <f>'Расчет -30%'!B20</f>
        <v>Мишелевское гор.пос. </v>
      </c>
      <c r="C15" s="122">
        <v>2745.7</v>
      </c>
      <c r="D15" s="122">
        <v>10532.4</v>
      </c>
      <c r="E15" s="122">
        <v>0</v>
      </c>
      <c r="F15" s="100">
        <f t="shared" si="0"/>
        <v>13278.099999999999</v>
      </c>
      <c r="G15" s="122">
        <v>4848.9</v>
      </c>
      <c r="H15" s="122">
        <v>8213.5</v>
      </c>
      <c r="I15" s="123">
        <f>'Расчет -30%'!AN20</f>
        <v>0</v>
      </c>
      <c r="J15" s="103">
        <f t="shared" si="1"/>
        <v>13062.4</v>
      </c>
      <c r="K15" s="100">
        <f>'Расчет -30%'!X20</f>
        <v>2187</v>
      </c>
      <c r="L15" s="94">
        <f t="shared" si="2"/>
        <v>1971.300000000001</v>
      </c>
    </row>
    <row r="16" spans="1:12" ht="15">
      <c r="A16" s="118">
        <f>'Расчет -30%'!A21</f>
        <v>10</v>
      </c>
      <c r="B16" s="118" t="str">
        <f>'Расчет -30%'!B21</f>
        <v>Среднинское гор.пос.</v>
      </c>
      <c r="C16" s="122">
        <v>0</v>
      </c>
      <c r="D16" s="122">
        <v>0</v>
      </c>
      <c r="E16" s="122">
        <v>0</v>
      </c>
      <c r="F16" s="100">
        <f t="shared" si="0"/>
        <v>0</v>
      </c>
      <c r="G16" s="122"/>
      <c r="H16" s="122"/>
      <c r="I16" s="123">
        <f>'Расчет -30%'!AN21</f>
        <v>0</v>
      </c>
      <c r="J16" s="103">
        <f t="shared" si="1"/>
        <v>0</v>
      </c>
      <c r="K16" s="100">
        <f>'Расчет -30%'!X21</f>
        <v>5067</v>
      </c>
      <c r="L16" s="94">
        <f t="shared" si="2"/>
        <v>5067</v>
      </c>
    </row>
    <row r="17" spans="1:12" ht="15">
      <c r="A17" s="118">
        <f>'Расчет -30%'!A22</f>
        <v>11</v>
      </c>
      <c r="B17" s="118" t="str">
        <f>'Расчет -30%'!B22</f>
        <v>Тайтурское гор.пос. </v>
      </c>
      <c r="C17" s="122">
        <v>4608.1</v>
      </c>
      <c r="D17" s="122">
        <v>9999.5</v>
      </c>
      <c r="E17" s="122">
        <v>0</v>
      </c>
      <c r="F17" s="100">
        <f t="shared" si="0"/>
        <v>14607.6</v>
      </c>
      <c r="G17" s="122">
        <v>4332.6</v>
      </c>
      <c r="H17" s="122">
        <v>8055.9</v>
      </c>
      <c r="I17" s="123">
        <f>'Расчет -30%'!AN22</f>
        <v>0</v>
      </c>
      <c r="J17" s="103">
        <f t="shared" si="1"/>
        <v>12388.5</v>
      </c>
      <c r="K17" s="100">
        <f>'Расчет -30%'!X22</f>
        <v>466</v>
      </c>
      <c r="L17" s="94">
        <f t="shared" si="2"/>
        <v>-1753.1000000000004</v>
      </c>
    </row>
    <row r="18" spans="1:12" ht="15">
      <c r="A18" s="118">
        <f>'Расчет -30%'!A23</f>
        <v>12</v>
      </c>
      <c r="B18" s="118" t="str">
        <f>'Расчет -30%'!B23</f>
        <v>Тельминское гор.пос.  </v>
      </c>
      <c r="C18" s="122">
        <v>7048.1</v>
      </c>
      <c r="D18" s="122">
        <v>6504.7</v>
      </c>
      <c r="E18" s="122">
        <v>0</v>
      </c>
      <c r="F18" s="100">
        <f t="shared" si="0"/>
        <v>13552.8</v>
      </c>
      <c r="G18" s="122">
        <v>9008.4</v>
      </c>
      <c r="H18" s="122">
        <v>6044.8</v>
      </c>
      <c r="I18" s="123">
        <f>'Расчет -30%'!AN23</f>
        <v>0</v>
      </c>
      <c r="J18" s="103">
        <f t="shared" si="1"/>
        <v>15053.2</v>
      </c>
      <c r="K18" s="100">
        <f>'Расчет -30%'!X23</f>
        <v>68</v>
      </c>
      <c r="L18" s="94">
        <f t="shared" si="2"/>
        <v>1568.4000000000015</v>
      </c>
    </row>
    <row r="19" spans="1:12" ht="15">
      <c r="A19" s="118"/>
      <c r="B19" s="118"/>
      <c r="C19" s="121">
        <f>SUM(C6:C18)</f>
        <v>15155.2</v>
      </c>
      <c r="D19" s="121">
        <f>SUM(D6:D18)</f>
        <v>69901.90000000001</v>
      </c>
      <c r="E19" s="121">
        <f>SUM(E6:E18)</f>
        <v>23250</v>
      </c>
      <c r="F19" s="102">
        <f t="shared" si="0"/>
        <v>108307.1</v>
      </c>
      <c r="G19" s="121">
        <f>SUM(G6:G18)</f>
        <v>19362.6</v>
      </c>
      <c r="H19" s="121">
        <f>SUM(H6:H18)</f>
        <v>58447.40000000001</v>
      </c>
      <c r="I19" s="123">
        <f>'Расчет -30%'!AN24</f>
        <v>14399.999999999985</v>
      </c>
      <c r="J19" s="120">
        <f t="shared" si="1"/>
        <v>92209.99999999999</v>
      </c>
      <c r="K19" s="102">
        <f>'Расчет -30%'!X24</f>
        <v>15470</v>
      </c>
      <c r="L19" s="9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0"/>
  <sheetViews>
    <sheetView zoomScalePageLayoutView="0" workbookViewId="0" topLeftCell="A4">
      <pane xSplit="2" ySplit="7" topLeftCell="X1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W25" sqref="W25:Y25"/>
    </sheetView>
  </sheetViews>
  <sheetFormatPr defaultColWidth="9.140625" defaultRowHeight="15"/>
  <cols>
    <col min="1" max="1" width="4.00390625" style="0" customWidth="1"/>
    <col min="2" max="2" width="19.7109375" style="0" customWidth="1"/>
    <col min="3" max="3" width="9.00390625" style="0" customWidth="1"/>
    <col min="4" max="4" width="7.28125" style="0" customWidth="1"/>
    <col min="5" max="5" width="8.00390625" style="0" customWidth="1"/>
    <col min="6" max="6" width="7.8515625" style="0" customWidth="1"/>
    <col min="7" max="22" width="7.7109375" style="0" customWidth="1"/>
    <col min="23" max="23" width="10.8515625" style="0" customWidth="1"/>
    <col min="24" max="27" width="11.421875" style="0" customWidth="1"/>
    <col min="28" max="28" width="7.57421875" style="0" customWidth="1"/>
    <col min="29" max="29" width="6.7109375" style="0" customWidth="1"/>
    <col min="30" max="30" width="6.421875" style="0" hidden="1" customWidth="1"/>
    <col min="31" max="31" width="7.8515625" style="0" customWidth="1"/>
    <col min="32" max="32" width="6.28125" style="0" customWidth="1"/>
    <col min="33" max="33" width="6.421875" style="0" hidden="1" customWidth="1"/>
    <col min="34" max="34" width="5.8515625" style="0" customWidth="1"/>
    <col min="35" max="35" width="7.8515625" style="0" customWidth="1"/>
    <col min="36" max="37" width="7.140625" style="0" customWidth="1"/>
    <col min="38" max="38" width="11.8515625" style="0" customWidth="1"/>
    <col min="39" max="39" width="10.28125" style="0" customWidth="1"/>
    <col min="40" max="40" width="12.00390625" style="0" customWidth="1"/>
    <col min="41" max="41" width="10.7109375" style="0" customWidth="1"/>
    <col min="42" max="42" width="9.140625" style="0" customWidth="1"/>
    <col min="43" max="43" width="0.13671875" style="0" customWidth="1"/>
    <col min="44" max="44" width="9.140625" style="0" hidden="1" customWidth="1"/>
    <col min="45" max="45" width="13.28125" style="0" hidden="1" customWidth="1"/>
    <col min="46" max="46" width="9.140625" style="0" hidden="1" customWidth="1"/>
  </cols>
  <sheetData>
    <row r="2" spans="5:13" ht="18.75"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5:13" ht="18.75">
      <c r="E3" s="1" t="s">
        <v>0</v>
      </c>
      <c r="F3" s="1"/>
      <c r="G3" s="1"/>
      <c r="H3" s="1"/>
      <c r="I3" s="1"/>
      <c r="J3" s="1"/>
      <c r="K3" s="1"/>
      <c r="L3" s="1"/>
      <c r="M3" s="1"/>
    </row>
    <row r="4" spans="5:13" ht="18.75">
      <c r="E4" s="1"/>
      <c r="F4" s="1"/>
      <c r="G4" s="1"/>
      <c r="H4" s="1"/>
      <c r="I4" s="1"/>
      <c r="J4" s="1"/>
      <c r="K4" s="1"/>
      <c r="L4" s="1"/>
      <c r="M4" s="1"/>
    </row>
    <row r="5" spans="5:13" ht="18.75">
      <c r="E5" s="1"/>
      <c r="F5" s="1"/>
      <c r="G5" s="1"/>
      <c r="H5" s="1"/>
      <c r="I5" s="1"/>
      <c r="J5" s="1" t="s">
        <v>89</v>
      </c>
      <c r="K5" s="1"/>
      <c r="L5" s="1"/>
      <c r="M5" s="1"/>
    </row>
    <row r="6" spans="5:13" ht="23.25" customHeight="1">
      <c r="E6" s="1"/>
      <c r="F6" s="1"/>
      <c r="G6" s="1"/>
      <c r="H6" s="1"/>
      <c r="I6" s="1"/>
      <c r="J6" s="1" t="s">
        <v>108</v>
      </c>
      <c r="K6" s="1"/>
      <c r="L6" s="1"/>
      <c r="M6" s="1"/>
    </row>
    <row r="7" spans="5:13" ht="29.25" customHeight="1">
      <c r="E7" s="1"/>
      <c r="F7" s="1"/>
      <c r="G7" s="1"/>
      <c r="H7" s="1"/>
      <c r="I7" s="1"/>
      <c r="J7" s="1"/>
      <c r="K7" s="1"/>
      <c r="L7" s="1"/>
      <c r="M7" s="1"/>
    </row>
    <row r="8" spans="32:37" ht="20.25" customHeight="1" thickBot="1">
      <c r="AF8" t="s">
        <v>111</v>
      </c>
      <c r="AI8" s="33"/>
      <c r="AJ8" s="33"/>
      <c r="AK8" s="33"/>
    </row>
    <row r="9" spans="1:46" ht="51.75" customHeight="1">
      <c r="A9" s="41" t="s">
        <v>2</v>
      </c>
      <c r="B9" s="41" t="s">
        <v>3</v>
      </c>
      <c r="C9" s="62" t="s">
        <v>86</v>
      </c>
      <c r="D9" s="61" t="s">
        <v>7</v>
      </c>
      <c r="E9" s="41" t="s">
        <v>8</v>
      </c>
      <c r="F9" s="41" t="s">
        <v>87</v>
      </c>
      <c r="G9" s="41" t="s">
        <v>88</v>
      </c>
      <c r="H9" s="41" t="s">
        <v>90</v>
      </c>
      <c r="I9" s="41" t="s">
        <v>91</v>
      </c>
      <c r="J9" s="41" t="s">
        <v>92</v>
      </c>
      <c r="K9" s="61" t="s">
        <v>15</v>
      </c>
      <c r="L9" s="41" t="s">
        <v>93</v>
      </c>
      <c r="M9" s="41" t="s">
        <v>94</v>
      </c>
      <c r="N9" s="41" t="s">
        <v>95</v>
      </c>
      <c r="O9" s="41" t="s">
        <v>110</v>
      </c>
      <c r="P9" s="41" t="s">
        <v>96</v>
      </c>
      <c r="Q9" s="41" t="s">
        <v>97</v>
      </c>
      <c r="R9" s="41" t="s">
        <v>98</v>
      </c>
      <c r="S9" s="19" t="s">
        <v>109</v>
      </c>
      <c r="T9" s="42" t="s">
        <v>104</v>
      </c>
      <c r="U9" s="41" t="s">
        <v>23</v>
      </c>
      <c r="V9" s="49" t="s">
        <v>25</v>
      </c>
      <c r="W9" s="77" t="s">
        <v>99</v>
      </c>
      <c r="X9" s="126" t="s">
        <v>100</v>
      </c>
      <c r="Y9" s="28" t="s">
        <v>29</v>
      </c>
      <c r="Z9" s="28" t="s">
        <v>135</v>
      </c>
      <c r="AA9" s="28" t="s">
        <v>135</v>
      </c>
      <c r="AB9" s="131" t="s">
        <v>101</v>
      </c>
      <c r="AC9" s="87" t="s">
        <v>33</v>
      </c>
      <c r="AD9" s="85" t="s">
        <v>34</v>
      </c>
      <c r="AE9" s="81" t="s">
        <v>102</v>
      </c>
      <c r="AF9" s="73" t="s">
        <v>103</v>
      </c>
      <c r="AG9" s="147" t="s">
        <v>78</v>
      </c>
      <c r="AH9" s="48" t="s">
        <v>133</v>
      </c>
      <c r="AI9" s="49" t="s">
        <v>73</v>
      </c>
      <c r="AJ9" s="49"/>
      <c r="AK9" s="49"/>
      <c r="AL9" s="28" t="s">
        <v>55</v>
      </c>
      <c r="AM9" s="28" t="s">
        <v>28</v>
      </c>
      <c r="AN9" s="149" t="s">
        <v>85</v>
      </c>
      <c r="AO9" s="12"/>
      <c r="AP9" s="12" t="s">
        <v>114</v>
      </c>
      <c r="AQ9" s="98" t="s">
        <v>116</v>
      </c>
      <c r="AR9" s="12"/>
      <c r="AS9" s="100" t="s">
        <v>119</v>
      </c>
      <c r="AT9" s="125" t="s">
        <v>131</v>
      </c>
    </row>
    <row r="10" spans="1:46" ht="45" customHeight="1">
      <c r="A10" s="43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52" t="s">
        <v>105</v>
      </c>
      <c r="U10" s="43" t="s">
        <v>24</v>
      </c>
      <c r="V10" s="51" t="s">
        <v>81</v>
      </c>
      <c r="W10" s="78"/>
      <c r="X10" s="127" t="s">
        <v>139</v>
      </c>
      <c r="Y10" s="28" t="s">
        <v>132</v>
      </c>
      <c r="Z10" s="28" t="s">
        <v>133</v>
      </c>
      <c r="AA10" s="28" t="s">
        <v>134</v>
      </c>
      <c r="AB10" s="132"/>
      <c r="AC10" s="88"/>
      <c r="AD10" s="86"/>
      <c r="AE10" s="82"/>
      <c r="AF10" s="74"/>
      <c r="AG10" s="148"/>
      <c r="AH10" s="50" t="s">
        <v>139</v>
      </c>
      <c r="AI10" s="51" t="s">
        <v>121</v>
      </c>
      <c r="AJ10" s="106" t="s">
        <v>122</v>
      </c>
      <c r="AK10" s="106">
        <v>0.3</v>
      </c>
      <c r="AL10" s="28"/>
      <c r="AM10" s="28"/>
      <c r="AN10" s="150"/>
      <c r="AO10" s="12" t="s">
        <v>113</v>
      </c>
      <c r="AP10" s="99" t="s">
        <v>117</v>
      </c>
      <c r="AQ10" s="98" t="s">
        <v>115</v>
      </c>
      <c r="AR10" s="12" t="s">
        <v>118</v>
      </c>
      <c r="AS10" s="105" t="s">
        <v>120</v>
      </c>
      <c r="AT10" t="s">
        <v>130</v>
      </c>
    </row>
    <row r="11" spans="1:46" ht="48.75" customHeight="1">
      <c r="A11" s="13">
        <v>1</v>
      </c>
      <c r="B11" s="45" t="s">
        <v>40</v>
      </c>
      <c r="C11" s="54">
        <f>D11+K11</f>
        <v>3465.9</v>
      </c>
      <c r="D11" s="54">
        <f>E11+F11+G11+H11+I11+J11</f>
        <v>3372.5</v>
      </c>
      <c r="E11" s="67">
        <v>1308.1</v>
      </c>
      <c r="F11" s="67">
        <v>0</v>
      </c>
      <c r="G11" s="67">
        <v>179.7</v>
      </c>
      <c r="H11" s="67">
        <v>1854.7</v>
      </c>
      <c r="I11" s="67">
        <v>30</v>
      </c>
      <c r="J11" s="67">
        <v>0</v>
      </c>
      <c r="K11" s="54">
        <f>L11+M11+N11+O11+P11+Q11+R11</f>
        <v>93.4</v>
      </c>
      <c r="L11" s="67">
        <v>0</v>
      </c>
      <c r="M11" s="67">
        <v>77.4</v>
      </c>
      <c r="N11" s="67">
        <v>0</v>
      </c>
      <c r="O11" s="67">
        <v>0</v>
      </c>
      <c r="P11" s="67">
        <v>0</v>
      </c>
      <c r="Q11" s="67">
        <v>16</v>
      </c>
      <c r="R11" s="67">
        <v>0</v>
      </c>
      <c r="S11" s="67">
        <f aca="true" t="shared" si="0" ref="S11:S18">T11+U11+V11</f>
        <v>8239.5</v>
      </c>
      <c r="T11" s="67">
        <v>0</v>
      </c>
      <c r="U11" s="67">
        <v>0</v>
      </c>
      <c r="V11" s="68">
        <f>7433.5+806</f>
        <v>8239.5</v>
      </c>
      <c r="W11" s="79">
        <f>C11+S11</f>
        <v>11705.4</v>
      </c>
      <c r="X11" s="128">
        <f>2461-545</f>
        <v>1916</v>
      </c>
      <c r="Y11" s="134">
        <f>AB11+AC11+AD11+AE11+AF11+AG11+AK11-Z11-AA11-AH11</f>
        <v>9875.900000000001</v>
      </c>
      <c r="Z11" s="134">
        <v>1998.8</v>
      </c>
      <c r="AA11" s="134">
        <v>258.9</v>
      </c>
      <c r="AB11" s="71">
        <v>4885</v>
      </c>
      <c r="AC11" s="89">
        <v>5091</v>
      </c>
      <c r="AD11" s="83"/>
      <c r="AE11" s="79">
        <v>590</v>
      </c>
      <c r="AF11" s="79">
        <v>0</v>
      </c>
      <c r="AG11" s="71"/>
      <c r="AH11" s="54">
        <v>545</v>
      </c>
      <c r="AI11" s="54">
        <f>16602-AB11-AC11-AE11</f>
        <v>6036</v>
      </c>
      <c r="AJ11" s="106">
        <v>0.35</v>
      </c>
      <c r="AK11" s="107">
        <f>AI11*AJ11</f>
        <v>2112.6</v>
      </c>
      <c r="AL11" s="54">
        <f>W11-Y11+X11</f>
        <v>3745.499999999998</v>
      </c>
      <c r="AM11" s="55" t="b">
        <f>IF(AL11&lt;0,AL11)</f>
        <v>0</v>
      </c>
      <c r="AN11" s="56">
        <f>AM11/X26*U28</f>
        <v>0</v>
      </c>
      <c r="AO11" s="12">
        <v>806</v>
      </c>
      <c r="AP11" s="94">
        <f>AN11+AO11</f>
        <v>806</v>
      </c>
      <c r="AQ11" s="97">
        <f>AP11+AM11</f>
        <v>806</v>
      </c>
      <c r="AR11" s="12">
        <v>1589</v>
      </c>
      <c r="AS11" s="103">
        <f>AP11-AR11</f>
        <v>-783</v>
      </c>
      <c r="AT11">
        <f>AI11+AB11+AC11+AE11+AF11</f>
        <v>16602</v>
      </c>
    </row>
    <row r="12" spans="1:46" ht="48" customHeight="1">
      <c r="A12" s="46">
        <v>2</v>
      </c>
      <c r="B12" s="45" t="s">
        <v>41</v>
      </c>
      <c r="C12" s="54">
        <f aca="true" t="shared" si="1" ref="C12:C23">D12+K12</f>
        <v>7989.580000000001</v>
      </c>
      <c r="D12" s="54">
        <f aca="true" t="shared" si="2" ref="D12:D23">E12+F12+G12+H12+I12+J12</f>
        <v>7903.780000000001</v>
      </c>
      <c r="E12" s="67">
        <v>2653.78</v>
      </c>
      <c r="F12" s="67">
        <v>1219.4</v>
      </c>
      <c r="G12" s="67">
        <v>349.8</v>
      </c>
      <c r="H12" s="67">
        <v>3660.8</v>
      </c>
      <c r="I12" s="67">
        <v>20</v>
      </c>
      <c r="J12" s="67">
        <v>0</v>
      </c>
      <c r="K12" s="54">
        <f>L12+M12+N12+O12+P12+Q12+R12</f>
        <v>85.8</v>
      </c>
      <c r="L12" s="67">
        <v>20</v>
      </c>
      <c r="M12" s="67">
        <v>30</v>
      </c>
      <c r="N12" s="67">
        <v>0</v>
      </c>
      <c r="O12" s="67">
        <v>20.8</v>
      </c>
      <c r="P12" s="67">
        <v>0</v>
      </c>
      <c r="Q12" s="67">
        <v>15</v>
      </c>
      <c r="R12" s="67">
        <v>0</v>
      </c>
      <c r="S12" s="67">
        <f t="shared" si="0"/>
        <v>2702.5</v>
      </c>
      <c r="T12" s="67">
        <v>0</v>
      </c>
      <c r="U12" s="67">
        <v>0</v>
      </c>
      <c r="V12" s="68">
        <f>1966.4+736.1</f>
        <v>2702.5</v>
      </c>
      <c r="W12" s="79">
        <f aca="true" t="shared" si="3" ref="W12:W23">C12+S12</f>
        <v>10692.080000000002</v>
      </c>
      <c r="X12" s="128">
        <f>1661-785</f>
        <v>876</v>
      </c>
      <c r="Y12" s="134">
        <f aca="true" t="shared" si="4" ref="Y12:Y24">AB12+AC12+AD12+AE12+AF12+AG12+AK12-Z12-AA12-AH12</f>
        <v>10062.150000000001</v>
      </c>
      <c r="Z12" s="134">
        <v>2292.9</v>
      </c>
      <c r="AA12" s="134">
        <v>351.3</v>
      </c>
      <c r="AB12" s="71">
        <v>3845</v>
      </c>
      <c r="AC12" s="89">
        <v>6339</v>
      </c>
      <c r="AD12" s="83"/>
      <c r="AE12" s="79">
        <v>500</v>
      </c>
      <c r="AF12" s="79">
        <v>0</v>
      </c>
      <c r="AG12" s="71"/>
      <c r="AH12" s="54">
        <v>785</v>
      </c>
      <c r="AI12" s="54">
        <f>18705-AB12-AC12-AE12-AF12</f>
        <v>8021</v>
      </c>
      <c r="AJ12" s="106">
        <v>0.35</v>
      </c>
      <c r="AK12" s="107">
        <f aca="true" t="shared" si="5" ref="AK12:AK24">AI12*AJ12</f>
        <v>2807.35</v>
      </c>
      <c r="AL12" s="54">
        <f aca="true" t="shared" si="6" ref="AL12:AL23">W12-Y12+X12</f>
        <v>1505.9300000000003</v>
      </c>
      <c r="AM12" s="55" t="b">
        <f aca="true" t="shared" si="7" ref="AM12:AM23">IF(AL12&lt;0,AL12)</f>
        <v>0</v>
      </c>
      <c r="AN12" s="56">
        <f>AM12/X26*U28</f>
        <v>0</v>
      </c>
      <c r="AO12" s="12">
        <v>736.1</v>
      </c>
      <c r="AP12" s="94">
        <f aca="true" t="shared" si="8" ref="AP12:AP23">AN12+AO12</f>
        <v>736.1</v>
      </c>
      <c r="AQ12" s="97">
        <f aca="true" t="shared" si="9" ref="AQ12:AQ23">AP12+AM12</f>
        <v>736.1</v>
      </c>
      <c r="AR12" s="12">
        <v>3491</v>
      </c>
      <c r="AS12" s="103">
        <f aca="true" t="shared" si="10" ref="AS12:AS23">AP12-AR12</f>
        <v>-2754.9</v>
      </c>
      <c r="AT12">
        <f aca="true" t="shared" si="11" ref="AT12:AT24">AI12+AB12+AC12+AE12+AF12</f>
        <v>18705</v>
      </c>
    </row>
    <row r="13" spans="1:46" ht="48.75" customHeight="1" hidden="1">
      <c r="A13" s="63">
        <v>0</v>
      </c>
      <c r="B13" s="64" t="s">
        <v>42</v>
      </c>
      <c r="C13" s="65">
        <f t="shared" si="1"/>
        <v>0</v>
      </c>
      <c r="D13" s="65">
        <f t="shared" si="2"/>
        <v>0</v>
      </c>
      <c r="E13" s="65"/>
      <c r="F13" s="65"/>
      <c r="G13" s="65"/>
      <c r="H13" s="65"/>
      <c r="I13" s="65"/>
      <c r="J13" s="65"/>
      <c r="K13" s="65">
        <f>L13+M13+N13+P13+Q13+R13</f>
        <v>0</v>
      </c>
      <c r="L13" s="65"/>
      <c r="M13" s="65"/>
      <c r="N13" s="65"/>
      <c r="O13" s="65"/>
      <c r="P13" s="65"/>
      <c r="Q13" s="65"/>
      <c r="R13" s="65"/>
      <c r="S13" s="65"/>
      <c r="T13" s="65"/>
      <c r="U13" s="65">
        <v>0</v>
      </c>
      <c r="V13" s="69"/>
      <c r="W13" s="75">
        <f t="shared" si="3"/>
        <v>0</v>
      </c>
      <c r="X13" s="129"/>
      <c r="Y13" s="134">
        <f t="shared" si="4"/>
        <v>0</v>
      </c>
      <c r="Z13" s="134"/>
      <c r="AA13" s="134"/>
      <c r="AB13" s="72"/>
      <c r="AC13" s="90"/>
      <c r="AD13" s="84"/>
      <c r="AE13" s="75"/>
      <c r="AF13" s="75"/>
      <c r="AG13" s="72"/>
      <c r="AH13" s="65"/>
      <c r="AI13" s="65"/>
      <c r="AJ13" s="106">
        <v>0.35</v>
      </c>
      <c r="AK13" s="107">
        <f t="shared" si="5"/>
        <v>0</v>
      </c>
      <c r="AL13" s="65">
        <f t="shared" si="6"/>
        <v>0</v>
      </c>
      <c r="AM13" s="55" t="b">
        <f t="shared" si="7"/>
        <v>0</v>
      </c>
      <c r="AN13" s="66">
        <f>AM13/X26*U28</f>
        <v>0</v>
      </c>
      <c r="AO13" s="12"/>
      <c r="AP13" s="94">
        <f t="shared" si="8"/>
        <v>0</v>
      </c>
      <c r="AQ13" s="97">
        <f t="shared" si="9"/>
        <v>0</v>
      </c>
      <c r="AR13" s="12"/>
      <c r="AS13" s="103">
        <f t="shared" si="10"/>
        <v>0</v>
      </c>
      <c r="AT13">
        <f t="shared" si="11"/>
        <v>0</v>
      </c>
    </row>
    <row r="14" spans="1:46" ht="48.75" customHeight="1">
      <c r="A14" s="46">
        <v>3</v>
      </c>
      <c r="B14" s="45" t="s">
        <v>43</v>
      </c>
      <c r="C14" s="54">
        <f t="shared" si="1"/>
        <v>1583</v>
      </c>
      <c r="D14" s="54">
        <f t="shared" si="2"/>
        <v>1571</v>
      </c>
      <c r="E14" s="67">
        <v>409</v>
      </c>
      <c r="F14" s="67">
        <v>0</v>
      </c>
      <c r="G14" s="67">
        <v>102</v>
      </c>
      <c r="H14" s="67">
        <v>1040</v>
      </c>
      <c r="I14" s="67">
        <v>20</v>
      </c>
      <c r="J14" s="67">
        <v>0</v>
      </c>
      <c r="K14" s="54">
        <f aca="true" t="shared" si="12" ref="K14:K23">L14+M14+N14+O14+P14+Q14+R14</f>
        <v>12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12</v>
      </c>
      <c r="R14" s="67">
        <v>0</v>
      </c>
      <c r="S14" s="67">
        <f t="shared" si="0"/>
        <v>8455.7</v>
      </c>
      <c r="T14" s="67">
        <v>0</v>
      </c>
      <c r="U14" s="67">
        <v>148.4</v>
      </c>
      <c r="V14" s="68">
        <f>7605.6+701.7</f>
        <v>8307.300000000001</v>
      </c>
      <c r="W14" s="79">
        <f t="shared" si="3"/>
        <v>10038.7</v>
      </c>
      <c r="X14" s="128">
        <f>628</f>
        <v>628</v>
      </c>
      <c r="Y14" s="134">
        <f t="shared" si="4"/>
        <v>12912.1</v>
      </c>
      <c r="Z14" s="134">
        <v>2292.9</v>
      </c>
      <c r="AA14" s="134">
        <v>110.7</v>
      </c>
      <c r="AB14" s="71">
        <v>4895</v>
      </c>
      <c r="AC14" s="89">
        <v>5799</v>
      </c>
      <c r="AD14" s="83"/>
      <c r="AE14" s="79">
        <v>729</v>
      </c>
      <c r="AF14" s="79">
        <v>0</v>
      </c>
      <c r="AG14" s="71"/>
      <c r="AH14" s="54">
        <v>0</v>
      </c>
      <c r="AI14" s="54">
        <f>22545-AB14-AC14-AE14-AF14</f>
        <v>11122</v>
      </c>
      <c r="AJ14" s="106">
        <v>0.35</v>
      </c>
      <c r="AK14" s="107">
        <f t="shared" si="5"/>
        <v>3892.7</v>
      </c>
      <c r="AL14" s="54">
        <f t="shared" si="6"/>
        <v>-2245.3999999999996</v>
      </c>
      <c r="AM14" s="55">
        <f t="shared" si="7"/>
        <v>-2245.3999999999996</v>
      </c>
      <c r="AN14" s="56">
        <f>AM14/X26*U28</f>
        <v>2938.8983821123466</v>
      </c>
      <c r="AO14" s="12">
        <v>701.7</v>
      </c>
      <c r="AP14" s="94">
        <f t="shared" si="8"/>
        <v>3640.5983821123464</v>
      </c>
      <c r="AQ14" s="97">
        <f t="shared" si="9"/>
        <v>1395.1983821123467</v>
      </c>
      <c r="AR14" s="12">
        <v>4563</v>
      </c>
      <c r="AS14" s="103">
        <f t="shared" si="10"/>
        <v>-922.4016178876536</v>
      </c>
      <c r="AT14">
        <f t="shared" si="11"/>
        <v>22545</v>
      </c>
    </row>
    <row r="15" spans="1:46" ht="48.75" customHeight="1">
      <c r="A15" s="46">
        <v>4</v>
      </c>
      <c r="B15" s="45" t="s">
        <v>44</v>
      </c>
      <c r="C15" s="54">
        <f t="shared" si="1"/>
        <v>1528.1</v>
      </c>
      <c r="D15" s="54">
        <f>E15+F15+G15+H15+I15+J15</f>
        <v>1113.1</v>
      </c>
      <c r="E15" s="67">
        <v>500</v>
      </c>
      <c r="F15" s="67">
        <v>13.1</v>
      </c>
      <c r="G15" s="67">
        <v>100</v>
      </c>
      <c r="H15" s="67">
        <v>470</v>
      </c>
      <c r="I15" s="67">
        <v>30</v>
      </c>
      <c r="J15" s="67">
        <v>0</v>
      </c>
      <c r="K15" s="54">
        <f t="shared" si="12"/>
        <v>415</v>
      </c>
      <c r="L15" s="67">
        <v>0</v>
      </c>
      <c r="M15" s="67">
        <v>350</v>
      </c>
      <c r="N15" s="67">
        <v>0</v>
      </c>
      <c r="O15" s="67">
        <v>10</v>
      </c>
      <c r="P15" s="67">
        <v>0</v>
      </c>
      <c r="Q15" s="67">
        <v>5</v>
      </c>
      <c r="R15" s="67">
        <v>50</v>
      </c>
      <c r="S15" s="67">
        <f t="shared" si="0"/>
        <v>3864.4</v>
      </c>
      <c r="T15" s="67">
        <v>0</v>
      </c>
      <c r="U15" s="67">
        <v>0</v>
      </c>
      <c r="V15" s="68">
        <f>3387.3+477.1</f>
        <v>3864.4</v>
      </c>
      <c r="W15" s="79">
        <f t="shared" si="3"/>
        <v>5392.5</v>
      </c>
      <c r="X15" s="128">
        <f>921-869</f>
        <v>52</v>
      </c>
      <c r="Y15" s="134">
        <f t="shared" si="4"/>
        <v>10740.05</v>
      </c>
      <c r="Z15" s="134">
        <v>587.9</v>
      </c>
      <c r="AA15" s="134">
        <v>268.1</v>
      </c>
      <c r="AB15" s="71">
        <v>2578</v>
      </c>
      <c r="AC15" s="89">
        <v>6100</v>
      </c>
      <c r="AD15" s="83"/>
      <c r="AE15" s="79">
        <v>1815</v>
      </c>
      <c r="AF15" s="79">
        <v>683</v>
      </c>
      <c r="AG15" s="71"/>
      <c r="AH15" s="54">
        <v>869</v>
      </c>
      <c r="AI15" s="54">
        <f>14859-AB15-AC15-AE15-AF15</f>
        <v>3683</v>
      </c>
      <c r="AJ15" s="106">
        <v>0.35</v>
      </c>
      <c r="AK15" s="107">
        <f t="shared" si="5"/>
        <v>1289.05</v>
      </c>
      <c r="AL15" s="54">
        <f t="shared" si="6"/>
        <v>-5295.549999999999</v>
      </c>
      <c r="AM15" s="55">
        <f t="shared" si="7"/>
        <v>-5295.549999999999</v>
      </c>
      <c r="AN15" s="56">
        <f>AM15/X26*U28</f>
        <v>6931.096164333766</v>
      </c>
      <c r="AO15" s="12">
        <v>477.1</v>
      </c>
      <c r="AP15" s="94">
        <f t="shared" si="8"/>
        <v>7408.196164333766</v>
      </c>
      <c r="AQ15" s="97">
        <f t="shared" si="9"/>
        <v>2112.646164333767</v>
      </c>
      <c r="AR15" s="12">
        <v>5443</v>
      </c>
      <c r="AS15" s="103">
        <f t="shared" si="10"/>
        <v>1965.1961643337663</v>
      </c>
      <c r="AT15">
        <f t="shared" si="11"/>
        <v>14859</v>
      </c>
    </row>
    <row r="16" spans="1:46" ht="48.75" customHeight="1">
      <c r="A16" s="46">
        <v>5</v>
      </c>
      <c r="B16" s="45" t="s">
        <v>45</v>
      </c>
      <c r="C16" s="54">
        <f t="shared" si="1"/>
        <v>1038.7</v>
      </c>
      <c r="D16" s="54">
        <f t="shared" si="2"/>
        <v>939.7</v>
      </c>
      <c r="E16" s="67">
        <v>414.7</v>
      </c>
      <c r="F16" s="67">
        <v>0</v>
      </c>
      <c r="G16" s="67">
        <v>100</v>
      </c>
      <c r="H16" s="67">
        <v>410</v>
      </c>
      <c r="I16" s="67">
        <v>15</v>
      </c>
      <c r="J16" s="67">
        <v>0</v>
      </c>
      <c r="K16" s="54">
        <f t="shared" si="12"/>
        <v>99</v>
      </c>
      <c r="L16" s="67">
        <v>0</v>
      </c>
      <c r="M16" s="67">
        <v>0</v>
      </c>
      <c r="N16" s="67">
        <v>0</v>
      </c>
      <c r="O16" s="67">
        <v>15</v>
      </c>
      <c r="P16" s="67">
        <v>0</v>
      </c>
      <c r="Q16" s="67">
        <v>9</v>
      </c>
      <c r="R16" s="67">
        <v>75</v>
      </c>
      <c r="S16" s="67">
        <f t="shared" si="0"/>
        <v>6029.400000000001</v>
      </c>
      <c r="T16" s="67">
        <v>0</v>
      </c>
      <c r="U16" s="67">
        <v>488.8</v>
      </c>
      <c r="V16" s="68">
        <f>5070.6+470</f>
        <v>5540.6</v>
      </c>
      <c r="W16" s="79">
        <f t="shared" si="3"/>
        <v>7068.1</v>
      </c>
      <c r="X16" s="128">
        <f>413-374</f>
        <v>39</v>
      </c>
      <c r="Y16" s="134">
        <f t="shared" si="4"/>
        <v>10173.6</v>
      </c>
      <c r="Z16" s="134">
        <v>2351.7</v>
      </c>
      <c r="AA16" s="134">
        <v>128.6</v>
      </c>
      <c r="AB16" s="71">
        <v>2942</v>
      </c>
      <c r="AC16" s="89">
        <v>6924</v>
      </c>
      <c r="AD16" s="83"/>
      <c r="AE16" s="79">
        <v>1253</v>
      </c>
      <c r="AF16" s="79">
        <v>0</v>
      </c>
      <c r="AG16" s="71"/>
      <c r="AH16" s="54">
        <v>374</v>
      </c>
      <c r="AI16" s="54">
        <f>16573-AB16-AC16-AE16</f>
        <v>5454</v>
      </c>
      <c r="AJ16" s="106">
        <v>0.35</v>
      </c>
      <c r="AK16" s="107">
        <f t="shared" si="5"/>
        <v>1908.8999999999999</v>
      </c>
      <c r="AL16" s="54">
        <f t="shared" si="6"/>
        <v>-3066.5</v>
      </c>
      <c r="AM16" s="55">
        <f t="shared" si="7"/>
        <v>-3066.5</v>
      </c>
      <c r="AN16" s="56">
        <f>AM16/X26*U28</f>
        <v>4013.5975277222374</v>
      </c>
      <c r="AO16" s="12">
        <v>470</v>
      </c>
      <c r="AP16" s="94">
        <f t="shared" si="8"/>
        <v>4483.597527722237</v>
      </c>
      <c r="AQ16" s="97">
        <f t="shared" si="9"/>
        <v>1417.097527722237</v>
      </c>
      <c r="AR16" s="12">
        <v>5444</v>
      </c>
      <c r="AS16" s="103">
        <f t="shared" si="10"/>
        <v>-960.4024722777631</v>
      </c>
      <c r="AT16">
        <f t="shared" si="11"/>
        <v>16573</v>
      </c>
    </row>
    <row r="17" spans="1:46" ht="48.75" customHeight="1">
      <c r="A17" s="46">
        <v>6</v>
      </c>
      <c r="B17" s="45" t="s">
        <v>46</v>
      </c>
      <c r="C17" s="54">
        <f t="shared" si="1"/>
        <v>4806</v>
      </c>
      <c r="D17" s="54">
        <f t="shared" si="2"/>
        <v>4637</v>
      </c>
      <c r="E17" s="67">
        <v>3400</v>
      </c>
      <c r="F17" s="67">
        <v>27</v>
      </c>
      <c r="G17" s="67">
        <v>310</v>
      </c>
      <c r="H17" s="67">
        <v>880</v>
      </c>
      <c r="I17" s="67">
        <v>20</v>
      </c>
      <c r="J17" s="67">
        <v>0</v>
      </c>
      <c r="K17" s="54">
        <f t="shared" si="12"/>
        <v>169</v>
      </c>
      <c r="L17" s="67">
        <v>0</v>
      </c>
      <c r="M17" s="67">
        <v>0</v>
      </c>
      <c r="N17" s="67">
        <v>0</v>
      </c>
      <c r="O17" s="67">
        <v>100</v>
      </c>
      <c r="P17" s="67">
        <v>0</v>
      </c>
      <c r="Q17" s="67">
        <v>19</v>
      </c>
      <c r="R17" s="67">
        <v>50</v>
      </c>
      <c r="S17" s="67">
        <f t="shared" si="0"/>
        <v>3551.8999999999996</v>
      </c>
      <c r="T17" s="67">
        <v>0</v>
      </c>
      <c r="U17" s="67">
        <v>0</v>
      </c>
      <c r="V17" s="68">
        <f>3033.6+518.3</f>
        <v>3551.8999999999996</v>
      </c>
      <c r="W17" s="79">
        <f t="shared" si="3"/>
        <v>8357.9</v>
      </c>
      <c r="X17" s="128">
        <f>2634-380</f>
        <v>2254</v>
      </c>
      <c r="Y17" s="134">
        <f t="shared" si="4"/>
        <v>10853.3</v>
      </c>
      <c r="Z17" s="134">
        <v>881.9</v>
      </c>
      <c r="AA17" s="134">
        <v>289.7</v>
      </c>
      <c r="AB17" s="71">
        <v>4025</v>
      </c>
      <c r="AC17" s="89">
        <v>5838</v>
      </c>
      <c r="AD17" s="83"/>
      <c r="AE17" s="79">
        <v>584</v>
      </c>
      <c r="AF17" s="79">
        <v>0</v>
      </c>
      <c r="AG17" s="71"/>
      <c r="AH17" s="54">
        <v>380</v>
      </c>
      <c r="AI17" s="54">
        <f>16041-AB17-AC17-AE17</f>
        <v>5594</v>
      </c>
      <c r="AJ17" s="106">
        <v>0.35</v>
      </c>
      <c r="AK17" s="107">
        <f t="shared" si="5"/>
        <v>1957.8999999999999</v>
      </c>
      <c r="AL17" s="54">
        <f t="shared" si="6"/>
        <v>-241.39999999999964</v>
      </c>
      <c r="AM17" s="55">
        <f t="shared" si="7"/>
        <v>-241.39999999999964</v>
      </c>
      <c r="AN17" s="56">
        <f>AM17/X26*U28</f>
        <v>315.9570987093255</v>
      </c>
      <c r="AO17" s="12">
        <v>518.3</v>
      </c>
      <c r="AP17" s="94">
        <f t="shared" si="8"/>
        <v>834.2570987093254</v>
      </c>
      <c r="AQ17" s="97">
        <f t="shared" si="9"/>
        <v>592.8570987093258</v>
      </c>
      <c r="AR17" s="12">
        <v>3087</v>
      </c>
      <c r="AS17" s="103">
        <f t="shared" si="10"/>
        <v>-2252.7429012906746</v>
      </c>
      <c r="AT17">
        <f t="shared" si="11"/>
        <v>16041</v>
      </c>
    </row>
    <row r="18" spans="1:46" ht="48.75" customHeight="1">
      <c r="A18" s="46">
        <v>7</v>
      </c>
      <c r="B18" s="45" t="s">
        <v>47</v>
      </c>
      <c r="C18" s="54">
        <f t="shared" si="1"/>
        <v>358.5</v>
      </c>
      <c r="D18" s="54">
        <f t="shared" si="2"/>
        <v>355.5</v>
      </c>
      <c r="E18" s="67">
        <v>218</v>
      </c>
      <c r="F18" s="67">
        <v>0</v>
      </c>
      <c r="G18" s="67">
        <v>34.5</v>
      </c>
      <c r="H18" s="67">
        <v>88</v>
      </c>
      <c r="I18" s="67">
        <v>15</v>
      </c>
      <c r="J18" s="67">
        <v>0</v>
      </c>
      <c r="K18" s="54">
        <f t="shared" si="12"/>
        <v>3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3</v>
      </c>
      <c r="R18" s="67">
        <v>0</v>
      </c>
      <c r="S18" s="67">
        <f t="shared" si="0"/>
        <v>4462.5</v>
      </c>
      <c r="T18" s="67">
        <v>0</v>
      </c>
      <c r="U18" s="67">
        <v>535.5</v>
      </c>
      <c r="V18" s="68">
        <f>3588.2+338.8</f>
        <v>3927</v>
      </c>
      <c r="W18" s="79">
        <f t="shared" si="3"/>
        <v>4821</v>
      </c>
      <c r="X18" s="128">
        <f>2202-2198</f>
        <v>4</v>
      </c>
      <c r="Y18" s="134">
        <f t="shared" si="4"/>
        <v>4005.25</v>
      </c>
      <c r="Z18" s="134">
        <v>881.9</v>
      </c>
      <c r="AA18" s="134">
        <v>87.1</v>
      </c>
      <c r="AB18" s="71">
        <v>516</v>
      </c>
      <c r="AC18" s="89">
        <v>4568</v>
      </c>
      <c r="AD18" s="83"/>
      <c r="AE18" s="79">
        <v>207</v>
      </c>
      <c r="AF18" s="79">
        <v>0</v>
      </c>
      <c r="AG18" s="71"/>
      <c r="AH18" s="54">
        <v>2198</v>
      </c>
      <c r="AI18" s="54">
        <f>10666-AB18-AC18-AE18</f>
        <v>5375</v>
      </c>
      <c r="AJ18" s="106">
        <v>0.35</v>
      </c>
      <c r="AK18" s="107">
        <f t="shared" si="5"/>
        <v>1881.2499999999998</v>
      </c>
      <c r="AL18" s="54">
        <f t="shared" si="6"/>
        <v>819.75</v>
      </c>
      <c r="AM18" s="55" t="b">
        <f t="shared" si="7"/>
        <v>0</v>
      </c>
      <c r="AN18" s="56">
        <f>AM18/X26*U28</f>
        <v>0</v>
      </c>
      <c r="AO18" s="12">
        <v>338.8</v>
      </c>
      <c r="AP18" s="94">
        <f t="shared" si="8"/>
        <v>338.8</v>
      </c>
      <c r="AQ18" s="97">
        <f t="shared" si="9"/>
        <v>338.8</v>
      </c>
      <c r="AR18" s="12">
        <v>2140</v>
      </c>
      <c r="AS18" s="103">
        <f t="shared" si="10"/>
        <v>-1801.2</v>
      </c>
      <c r="AT18">
        <f t="shared" si="11"/>
        <v>10666</v>
      </c>
    </row>
    <row r="19" spans="1:46" ht="48.75" customHeight="1">
      <c r="A19" s="13">
        <v>8</v>
      </c>
      <c r="B19" s="45" t="s">
        <v>48</v>
      </c>
      <c r="C19" s="54">
        <f t="shared" si="1"/>
        <v>72375.1</v>
      </c>
      <c r="D19" s="54">
        <f t="shared" si="2"/>
        <v>69896.5</v>
      </c>
      <c r="E19" s="67">
        <v>32595</v>
      </c>
      <c r="F19" s="67">
        <v>33794.5</v>
      </c>
      <c r="G19" s="67">
        <v>900</v>
      </c>
      <c r="H19" s="67">
        <v>2557</v>
      </c>
      <c r="I19" s="67">
        <v>50</v>
      </c>
      <c r="J19" s="67">
        <v>0</v>
      </c>
      <c r="K19" s="54">
        <f t="shared" si="12"/>
        <v>2478.6</v>
      </c>
      <c r="L19" s="67">
        <v>322</v>
      </c>
      <c r="M19" s="67">
        <v>730</v>
      </c>
      <c r="N19" s="67">
        <v>0</v>
      </c>
      <c r="O19" s="67">
        <v>7.1</v>
      </c>
      <c r="P19" s="67">
        <v>1350</v>
      </c>
      <c r="Q19" s="67">
        <v>0</v>
      </c>
      <c r="R19" s="67">
        <v>69.5</v>
      </c>
      <c r="S19" s="67">
        <f>T19+U19+V19</f>
        <v>0</v>
      </c>
      <c r="T19" s="67">
        <v>0</v>
      </c>
      <c r="U19" s="67">
        <v>0</v>
      </c>
      <c r="V19" s="68">
        <v>0</v>
      </c>
      <c r="W19" s="79">
        <f t="shared" si="3"/>
        <v>72375.1</v>
      </c>
      <c r="X19" s="128">
        <v>1913</v>
      </c>
      <c r="Y19" s="134">
        <f t="shared" si="4"/>
        <v>50415.6</v>
      </c>
      <c r="Z19" s="134">
        <v>1881.1</v>
      </c>
      <c r="AA19" s="134">
        <v>812.8</v>
      </c>
      <c r="AB19" s="71">
        <v>10055</v>
      </c>
      <c r="AC19" s="89">
        <v>26756</v>
      </c>
      <c r="AD19" s="83"/>
      <c r="AE19" s="79">
        <v>1399</v>
      </c>
      <c r="AF19" s="79">
        <v>0</v>
      </c>
      <c r="AG19" s="71"/>
      <c r="AH19" s="54">
        <v>0</v>
      </c>
      <c r="AI19" s="54">
        <f>80780-AB19-AC19-AE19</f>
        <v>42570</v>
      </c>
      <c r="AJ19" s="106">
        <v>0.35</v>
      </c>
      <c r="AK19" s="107">
        <f t="shared" si="5"/>
        <v>14899.499999999998</v>
      </c>
      <c r="AL19" s="54">
        <f t="shared" si="6"/>
        <v>23872.500000000007</v>
      </c>
      <c r="AM19" s="55" t="b">
        <f t="shared" si="7"/>
        <v>0</v>
      </c>
      <c r="AN19" s="56">
        <f>AM19/X26*U28</f>
        <v>0</v>
      </c>
      <c r="AO19" s="12">
        <v>0</v>
      </c>
      <c r="AP19" s="94">
        <f t="shared" si="8"/>
        <v>0</v>
      </c>
      <c r="AQ19" s="97">
        <f t="shared" si="9"/>
        <v>0</v>
      </c>
      <c r="AR19" s="100">
        <v>4</v>
      </c>
      <c r="AS19" s="104">
        <f t="shared" si="10"/>
        <v>-4</v>
      </c>
      <c r="AT19">
        <f t="shared" si="11"/>
        <v>80780</v>
      </c>
    </row>
    <row r="20" spans="1:46" ht="48.75" customHeight="1">
      <c r="A20" s="13">
        <v>9</v>
      </c>
      <c r="B20" s="45" t="s">
        <v>49</v>
      </c>
      <c r="C20" s="54">
        <f t="shared" si="1"/>
        <v>11035.300000000001</v>
      </c>
      <c r="D20" s="54">
        <f t="shared" si="2"/>
        <v>10533.1</v>
      </c>
      <c r="E20" s="67">
        <v>8071.2</v>
      </c>
      <c r="F20" s="67">
        <v>0</v>
      </c>
      <c r="G20" s="67">
        <v>509.5</v>
      </c>
      <c r="H20" s="67">
        <v>1878.4</v>
      </c>
      <c r="I20" s="67">
        <v>74</v>
      </c>
      <c r="J20" s="67">
        <v>0</v>
      </c>
      <c r="K20" s="54">
        <f t="shared" si="12"/>
        <v>502.2</v>
      </c>
      <c r="L20" s="67">
        <v>177.2</v>
      </c>
      <c r="M20" s="67">
        <v>0</v>
      </c>
      <c r="N20" s="67">
        <v>0</v>
      </c>
      <c r="O20" s="67">
        <v>40</v>
      </c>
      <c r="P20" s="67">
        <v>30</v>
      </c>
      <c r="Q20" s="67">
        <v>15</v>
      </c>
      <c r="R20" s="67">
        <v>240</v>
      </c>
      <c r="S20" s="67">
        <f>T20+U20+V20</f>
        <v>13062.4</v>
      </c>
      <c r="T20" s="67">
        <v>0</v>
      </c>
      <c r="U20" s="67">
        <v>4848.9</v>
      </c>
      <c r="V20" s="68">
        <f>6588.8+1624.7</f>
        <v>8213.5</v>
      </c>
      <c r="W20" s="79">
        <f t="shared" si="3"/>
        <v>24097.7</v>
      </c>
      <c r="X20" s="128">
        <f>2839-652</f>
        <v>2187</v>
      </c>
      <c r="Y20" s="134">
        <f t="shared" si="4"/>
        <v>21196.75</v>
      </c>
      <c r="Z20" s="134">
        <v>2175.3</v>
      </c>
      <c r="AA20" s="134">
        <v>497.2</v>
      </c>
      <c r="AB20" s="71">
        <v>3192</v>
      </c>
      <c r="AC20" s="89">
        <v>12805</v>
      </c>
      <c r="AD20" s="83"/>
      <c r="AE20" s="79">
        <v>952</v>
      </c>
      <c r="AF20" s="79">
        <v>0</v>
      </c>
      <c r="AG20" s="71"/>
      <c r="AH20" s="54">
        <v>652</v>
      </c>
      <c r="AI20" s="54">
        <f>38584-AB20-AC20-AE20</f>
        <v>21635</v>
      </c>
      <c r="AJ20" s="106">
        <v>0.35</v>
      </c>
      <c r="AK20" s="107">
        <f t="shared" si="5"/>
        <v>7572.249999999999</v>
      </c>
      <c r="AL20" s="54">
        <f t="shared" si="6"/>
        <v>5087.950000000001</v>
      </c>
      <c r="AM20" s="55" t="b">
        <f>IF(AL20&lt;0,AL20)</f>
        <v>0</v>
      </c>
      <c r="AN20" s="56">
        <f>AM20/X26*U28</f>
        <v>0</v>
      </c>
      <c r="AO20" s="12">
        <v>1624.7</v>
      </c>
      <c r="AP20" s="94">
        <f t="shared" si="8"/>
        <v>1624.7</v>
      </c>
      <c r="AQ20" s="97">
        <f t="shared" si="9"/>
        <v>1624.7</v>
      </c>
      <c r="AR20" s="101">
        <v>1465</v>
      </c>
      <c r="AS20" s="104">
        <f t="shared" si="10"/>
        <v>159.70000000000005</v>
      </c>
      <c r="AT20">
        <f t="shared" si="11"/>
        <v>38584</v>
      </c>
    </row>
    <row r="21" spans="1:46" ht="48.75" customHeight="1">
      <c r="A21" s="13">
        <v>10</v>
      </c>
      <c r="B21" s="45" t="s">
        <v>50</v>
      </c>
      <c r="C21" s="54">
        <f t="shared" si="1"/>
        <v>22581.5</v>
      </c>
      <c r="D21" s="54">
        <f t="shared" si="2"/>
        <v>22561.5</v>
      </c>
      <c r="E21" s="67">
        <v>22500</v>
      </c>
      <c r="F21" s="67">
        <v>0</v>
      </c>
      <c r="G21" s="67">
        <v>5.5</v>
      </c>
      <c r="H21" s="67">
        <v>16</v>
      </c>
      <c r="I21" s="67">
        <v>40</v>
      </c>
      <c r="J21" s="67">
        <v>0</v>
      </c>
      <c r="K21" s="54">
        <f t="shared" si="12"/>
        <v>20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20</v>
      </c>
      <c r="R21" s="67">
        <v>0</v>
      </c>
      <c r="S21" s="67">
        <f>T21+U21+V21</f>
        <v>0</v>
      </c>
      <c r="T21" s="67">
        <v>0</v>
      </c>
      <c r="U21" s="67">
        <v>0</v>
      </c>
      <c r="V21" s="68">
        <v>0</v>
      </c>
      <c r="W21" s="79">
        <f t="shared" si="3"/>
        <v>22581.5</v>
      </c>
      <c r="X21" s="128">
        <v>5067</v>
      </c>
      <c r="Y21" s="134">
        <f t="shared" si="4"/>
        <v>14222.359999999999</v>
      </c>
      <c r="Z21" s="134">
        <v>587.84</v>
      </c>
      <c r="AA21" s="134">
        <v>315.4</v>
      </c>
      <c r="AB21" s="71">
        <v>0</v>
      </c>
      <c r="AC21" s="89">
        <v>9952</v>
      </c>
      <c r="AD21" s="83"/>
      <c r="AE21" s="79">
        <v>548</v>
      </c>
      <c r="AF21" s="79">
        <v>0</v>
      </c>
      <c r="AG21" s="71"/>
      <c r="AH21" s="54">
        <v>0</v>
      </c>
      <c r="AI21" s="54">
        <f>23716-AB21-AC21-AE21</f>
        <v>13216</v>
      </c>
      <c r="AJ21" s="106">
        <v>0.35</v>
      </c>
      <c r="AK21" s="107">
        <f t="shared" si="5"/>
        <v>4625.599999999999</v>
      </c>
      <c r="AL21" s="54">
        <f t="shared" si="6"/>
        <v>13426.140000000001</v>
      </c>
      <c r="AM21" s="55" t="b">
        <f t="shared" si="7"/>
        <v>0</v>
      </c>
      <c r="AN21" s="56">
        <f>AM21/X26*U28</f>
        <v>0</v>
      </c>
      <c r="AO21" s="12">
        <v>0</v>
      </c>
      <c r="AP21" s="94">
        <f t="shared" si="8"/>
        <v>0</v>
      </c>
      <c r="AQ21" s="97">
        <f t="shared" si="9"/>
        <v>0</v>
      </c>
      <c r="AR21" s="12">
        <v>0</v>
      </c>
      <c r="AS21" s="94">
        <f t="shared" si="10"/>
        <v>0</v>
      </c>
      <c r="AT21">
        <f t="shared" si="11"/>
        <v>23716</v>
      </c>
    </row>
    <row r="22" spans="1:46" ht="48.75" customHeight="1">
      <c r="A22" s="46">
        <v>11</v>
      </c>
      <c r="B22" s="45" t="s">
        <v>51</v>
      </c>
      <c r="C22" s="54">
        <f t="shared" si="1"/>
        <v>9809</v>
      </c>
      <c r="D22" s="54">
        <f t="shared" si="2"/>
        <v>9168</v>
      </c>
      <c r="E22" s="67">
        <v>6906</v>
      </c>
      <c r="F22" s="67">
        <v>0</v>
      </c>
      <c r="G22" s="67">
        <v>410</v>
      </c>
      <c r="H22" s="67">
        <v>1812</v>
      </c>
      <c r="I22" s="67">
        <v>40</v>
      </c>
      <c r="J22" s="67">
        <v>0</v>
      </c>
      <c r="K22" s="54">
        <f t="shared" si="12"/>
        <v>641</v>
      </c>
      <c r="L22" s="67">
        <v>390</v>
      </c>
      <c r="M22" s="67">
        <v>21</v>
      </c>
      <c r="N22" s="67">
        <v>0</v>
      </c>
      <c r="O22" s="67">
        <v>50</v>
      </c>
      <c r="P22" s="67">
        <v>105</v>
      </c>
      <c r="Q22" s="67">
        <v>25</v>
      </c>
      <c r="R22" s="67">
        <v>50</v>
      </c>
      <c r="S22" s="67">
        <f>T22+U22+V22</f>
        <v>12388.5</v>
      </c>
      <c r="T22" s="67">
        <v>0</v>
      </c>
      <c r="U22" s="67">
        <v>4332.6</v>
      </c>
      <c r="V22" s="68">
        <f>6621.8+1434.1</f>
        <v>8055.9</v>
      </c>
      <c r="W22" s="79">
        <f t="shared" si="3"/>
        <v>22197.5</v>
      </c>
      <c r="X22" s="128">
        <f>842-376</f>
        <v>466</v>
      </c>
      <c r="Y22" s="134">
        <f t="shared" si="4"/>
        <v>22816.65</v>
      </c>
      <c r="Z22" s="134">
        <v>1940.1</v>
      </c>
      <c r="AA22" s="134">
        <v>499.1</v>
      </c>
      <c r="AB22" s="71">
        <v>8411</v>
      </c>
      <c r="AC22" s="89">
        <v>11485</v>
      </c>
      <c r="AD22" s="83"/>
      <c r="AE22" s="79">
        <v>419</v>
      </c>
      <c r="AF22" s="79">
        <v>0</v>
      </c>
      <c r="AG22" s="71"/>
      <c r="AH22" s="54">
        <v>376</v>
      </c>
      <c r="AI22" s="54">
        <f>35506-AB22-AC22-AE22</f>
        <v>15191</v>
      </c>
      <c r="AJ22" s="106">
        <v>0.35</v>
      </c>
      <c r="AK22" s="107">
        <f t="shared" si="5"/>
        <v>5316.849999999999</v>
      </c>
      <c r="AL22" s="54">
        <f t="shared" si="6"/>
        <v>-153.15000000000146</v>
      </c>
      <c r="AM22" s="55">
        <f t="shared" si="7"/>
        <v>-153.15000000000146</v>
      </c>
      <c r="AN22" s="56">
        <f>AM22/X26*U28</f>
        <v>200.45082712234355</v>
      </c>
      <c r="AO22" s="12">
        <v>1434.1</v>
      </c>
      <c r="AP22" s="94">
        <f t="shared" si="8"/>
        <v>1634.5508271223434</v>
      </c>
      <c r="AQ22" s="97">
        <f t="shared" si="9"/>
        <v>1481.400827122342</v>
      </c>
      <c r="AR22" s="12">
        <v>4949</v>
      </c>
      <c r="AS22" s="103">
        <f t="shared" si="10"/>
        <v>-3314.4491728776566</v>
      </c>
      <c r="AT22">
        <f t="shared" si="11"/>
        <v>35506</v>
      </c>
    </row>
    <row r="23" spans="1:46" ht="48.75" customHeight="1" thickBot="1">
      <c r="A23" s="13">
        <v>12</v>
      </c>
      <c r="B23" s="45" t="s">
        <v>52</v>
      </c>
      <c r="C23" s="54">
        <f t="shared" si="1"/>
        <v>3364</v>
      </c>
      <c r="D23" s="54">
        <f t="shared" si="2"/>
        <v>3149</v>
      </c>
      <c r="E23" s="67">
        <v>1313</v>
      </c>
      <c r="F23" s="67">
        <v>10</v>
      </c>
      <c r="G23" s="67">
        <v>300</v>
      </c>
      <c r="H23" s="67">
        <v>1500</v>
      </c>
      <c r="I23" s="67">
        <v>25</v>
      </c>
      <c r="J23" s="67">
        <v>1</v>
      </c>
      <c r="K23" s="54">
        <f t="shared" si="12"/>
        <v>215</v>
      </c>
      <c r="L23" s="67">
        <v>85</v>
      </c>
      <c r="M23" s="67">
        <v>0</v>
      </c>
      <c r="N23" s="67">
        <v>0</v>
      </c>
      <c r="O23" s="67">
        <v>0</v>
      </c>
      <c r="P23" s="67">
        <v>100</v>
      </c>
      <c r="Q23" s="67">
        <v>30</v>
      </c>
      <c r="R23" s="67">
        <v>0</v>
      </c>
      <c r="S23" s="67">
        <f>T23+U23+V23</f>
        <v>15053.2</v>
      </c>
      <c r="T23" s="67">
        <v>0</v>
      </c>
      <c r="U23" s="67">
        <v>9008.4</v>
      </c>
      <c r="V23" s="92">
        <f>4759.1+1285.7</f>
        <v>6044.8</v>
      </c>
      <c r="W23" s="79">
        <f t="shared" si="3"/>
        <v>18417.2</v>
      </c>
      <c r="X23" s="128">
        <f>1035-967</f>
        <v>68</v>
      </c>
      <c r="Y23" s="134">
        <f t="shared" si="4"/>
        <v>14463.800000000001</v>
      </c>
      <c r="Z23" s="134">
        <v>1646.2</v>
      </c>
      <c r="AA23" s="134">
        <v>341.4</v>
      </c>
      <c r="AB23" s="71">
        <v>5057</v>
      </c>
      <c r="AC23" s="89">
        <v>8224</v>
      </c>
      <c r="AD23" s="83"/>
      <c r="AE23" s="79">
        <v>853</v>
      </c>
      <c r="AF23" s="79">
        <v>0</v>
      </c>
      <c r="AG23" s="71"/>
      <c r="AH23" s="54">
        <v>967</v>
      </c>
      <c r="AI23" s="54">
        <f>23518-AB23-AC23-AE23</f>
        <v>9384</v>
      </c>
      <c r="AJ23" s="106">
        <v>0.35</v>
      </c>
      <c r="AK23" s="107">
        <f t="shared" si="5"/>
        <v>3284.3999999999996</v>
      </c>
      <c r="AL23" s="54">
        <f t="shared" si="6"/>
        <v>4021.3999999999996</v>
      </c>
      <c r="AM23" s="55" t="b">
        <f t="shared" si="7"/>
        <v>0</v>
      </c>
      <c r="AN23" s="56">
        <f>AM23/X26*U28</f>
        <v>0</v>
      </c>
      <c r="AO23" s="12">
        <v>1285.7</v>
      </c>
      <c r="AP23" s="94">
        <f t="shared" si="8"/>
        <v>1285.7</v>
      </c>
      <c r="AQ23" s="97">
        <f t="shared" si="9"/>
        <v>1285.7</v>
      </c>
      <c r="AR23" s="102">
        <v>1050</v>
      </c>
      <c r="AS23" s="104">
        <f t="shared" si="10"/>
        <v>235.70000000000005</v>
      </c>
      <c r="AT23">
        <f t="shared" si="11"/>
        <v>23518</v>
      </c>
    </row>
    <row r="24" spans="1:46" ht="16.5" customHeight="1" thickBot="1">
      <c r="A24" s="13"/>
      <c r="B24" s="13"/>
      <c r="C24" s="54">
        <f aca="true" t="shared" si="13" ref="C24:T24">SUM(C11:C23)</f>
        <v>139934.68</v>
      </c>
      <c r="D24" s="54">
        <f t="shared" si="13"/>
        <v>135200.68</v>
      </c>
      <c r="E24" s="54">
        <f t="shared" si="13"/>
        <v>80288.78</v>
      </c>
      <c r="F24" s="54">
        <f t="shared" si="13"/>
        <v>35064</v>
      </c>
      <c r="G24" s="54">
        <f t="shared" si="13"/>
        <v>3301</v>
      </c>
      <c r="H24" s="54">
        <f t="shared" si="13"/>
        <v>16166.9</v>
      </c>
      <c r="I24" s="54">
        <f t="shared" si="13"/>
        <v>379</v>
      </c>
      <c r="J24" s="54">
        <f t="shared" si="13"/>
        <v>1</v>
      </c>
      <c r="K24" s="54">
        <f t="shared" si="13"/>
        <v>4734</v>
      </c>
      <c r="L24" s="54">
        <f t="shared" si="13"/>
        <v>994.2</v>
      </c>
      <c r="M24" s="54">
        <f t="shared" si="13"/>
        <v>1208.4</v>
      </c>
      <c r="N24" s="54">
        <f t="shared" si="13"/>
        <v>0</v>
      </c>
      <c r="O24" s="54"/>
      <c r="P24" s="54">
        <f t="shared" si="13"/>
        <v>1585</v>
      </c>
      <c r="Q24" s="54">
        <f t="shared" si="13"/>
        <v>169</v>
      </c>
      <c r="R24" s="54">
        <f t="shared" si="13"/>
        <v>534.5</v>
      </c>
      <c r="S24" s="54">
        <f t="shared" si="13"/>
        <v>77810</v>
      </c>
      <c r="T24" s="54">
        <f t="shared" si="13"/>
        <v>0</v>
      </c>
      <c r="U24" s="70">
        <f aca="true" t="shared" si="14" ref="U24:AS24">SUM(U11:U23)</f>
        <v>19362.6</v>
      </c>
      <c r="V24" s="93">
        <f t="shared" si="14"/>
        <v>58447.40000000001</v>
      </c>
      <c r="W24" s="80">
        <f t="shared" si="14"/>
        <v>217744.68000000002</v>
      </c>
      <c r="X24" s="130">
        <f t="shared" si="14"/>
        <v>15470</v>
      </c>
      <c r="Y24" s="134">
        <f t="shared" si="4"/>
        <v>191737.51</v>
      </c>
      <c r="Z24" s="135">
        <f t="shared" si="14"/>
        <v>19518.54</v>
      </c>
      <c r="AA24" s="135">
        <f t="shared" si="14"/>
        <v>3960.2999999999997</v>
      </c>
      <c r="AB24" s="133">
        <f t="shared" si="14"/>
        <v>50401</v>
      </c>
      <c r="AC24" s="91">
        <f t="shared" si="14"/>
        <v>109881</v>
      </c>
      <c r="AD24" s="83">
        <f t="shared" si="14"/>
        <v>0</v>
      </c>
      <c r="AE24" s="76">
        <f t="shared" si="14"/>
        <v>9849</v>
      </c>
      <c r="AF24" s="76">
        <f t="shared" si="14"/>
        <v>683</v>
      </c>
      <c r="AG24" s="71">
        <f t="shared" si="14"/>
        <v>0</v>
      </c>
      <c r="AH24" s="54">
        <f t="shared" si="14"/>
        <v>7146</v>
      </c>
      <c r="AI24" s="54">
        <f t="shared" si="14"/>
        <v>147281</v>
      </c>
      <c r="AJ24" s="106">
        <v>0.35</v>
      </c>
      <c r="AK24" s="107">
        <f t="shared" si="5"/>
        <v>51548.35</v>
      </c>
      <c r="AL24" s="54">
        <f t="shared" si="14"/>
        <v>41477.17000000001</v>
      </c>
      <c r="AM24" s="55">
        <f t="shared" si="14"/>
        <v>-11002</v>
      </c>
      <c r="AN24" s="95">
        <f t="shared" si="14"/>
        <v>14400.000000000018</v>
      </c>
      <c r="AO24" s="96">
        <f t="shared" si="14"/>
        <v>8392.5</v>
      </c>
      <c r="AP24" s="97">
        <f t="shared" si="14"/>
        <v>22792.500000000022</v>
      </c>
      <c r="AQ24" s="97">
        <f t="shared" si="14"/>
        <v>11790.500000000018</v>
      </c>
      <c r="AR24" s="97">
        <f t="shared" si="14"/>
        <v>33225</v>
      </c>
      <c r="AS24" s="97">
        <f t="shared" si="14"/>
        <v>-10432.499999999982</v>
      </c>
      <c r="AT24">
        <f t="shared" si="11"/>
        <v>318095</v>
      </c>
    </row>
    <row r="25" spans="1:40" ht="16.5" customHeight="1">
      <c r="A25" s="47"/>
      <c r="B25" s="4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09"/>
      <c r="U25" s="109" t="s">
        <v>67</v>
      </c>
      <c r="V25" s="109"/>
      <c r="W25" s="110">
        <f>SUM(W11:W23)-W23-W21-W20-W19-W11-W12-W18</f>
        <v>53054.7</v>
      </c>
      <c r="X25" s="110">
        <f>SUM(X11:X23)-X23-X21-X20-X19-X11-X12-X18</f>
        <v>3439</v>
      </c>
      <c r="Y25" s="110">
        <f>SUM(Y11:Y23)-Y23-Y21-Y20-Y19-Y11-Y12-Y18</f>
        <v>67495.69999999998</v>
      </c>
      <c r="Z25" s="108"/>
      <c r="AA25" s="108"/>
      <c r="AB25" s="109"/>
      <c r="AC25" s="109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7">
        <f>SUM(AN11:AN23)</f>
        <v>14400.000000000018</v>
      </c>
    </row>
    <row r="26" spans="1:40" ht="16.5" customHeight="1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09"/>
      <c r="U26" s="109" t="s">
        <v>68</v>
      </c>
      <c r="V26" s="109"/>
      <c r="W26" s="111"/>
      <c r="X26" s="112">
        <f>W25-Y25+X25</f>
        <v>-11001.999999999985</v>
      </c>
      <c r="Y26" s="111"/>
      <c r="Z26" s="111"/>
      <c r="AA26" s="111"/>
      <c r="AB26" s="109"/>
      <c r="AC26" s="109"/>
      <c r="AD26" s="58"/>
      <c r="AE26" s="58"/>
      <c r="AF26" s="58" t="s">
        <v>79</v>
      </c>
      <c r="AG26" s="58"/>
      <c r="AH26" s="58"/>
      <c r="AI26" s="58"/>
      <c r="AJ26" s="58"/>
      <c r="AK26" s="58"/>
      <c r="AL26" s="58"/>
      <c r="AM26" s="58"/>
      <c r="AN26" s="57"/>
    </row>
    <row r="27" spans="3:40" ht="1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113"/>
      <c r="U27" s="113" t="s">
        <v>112</v>
      </c>
      <c r="V27" s="113">
        <v>8392.5</v>
      </c>
      <c r="W27" s="113"/>
      <c r="X27" s="113"/>
      <c r="Y27" s="113"/>
      <c r="Z27" s="113"/>
      <c r="AA27" s="113"/>
      <c r="AB27" s="113"/>
      <c r="AC27" s="113"/>
      <c r="AD27" s="60"/>
      <c r="AE27" s="60"/>
      <c r="AF27" s="58"/>
      <c r="AG27" s="57"/>
      <c r="AH27" s="57"/>
      <c r="AI27" s="57"/>
      <c r="AJ27" s="57"/>
      <c r="AK27" s="57"/>
      <c r="AL27" s="57"/>
      <c r="AM27" s="57"/>
      <c r="AN27" s="57"/>
    </row>
    <row r="28" spans="3:40" ht="1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 t="s">
        <v>70</v>
      </c>
      <c r="T28" s="114"/>
      <c r="U28" s="115">
        <v>14400</v>
      </c>
      <c r="V28" s="114"/>
      <c r="W28" s="114"/>
      <c r="X28" s="114"/>
      <c r="Y28" s="114"/>
      <c r="Z28" s="114"/>
      <c r="AA28" s="114"/>
      <c r="AB28" s="114"/>
      <c r="AC28" s="114"/>
      <c r="AD28" s="59"/>
      <c r="AE28" s="59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20:40" ht="15" hidden="1">
      <c r="T29" s="116"/>
      <c r="U29" s="117"/>
      <c r="V29" s="116"/>
      <c r="W29" s="116"/>
      <c r="X29" s="116"/>
      <c r="Y29" s="116"/>
      <c r="Z29" s="116"/>
      <c r="AA29" s="116"/>
      <c r="AB29" s="116"/>
      <c r="AC29" s="116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20:40" ht="15"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F30" s="47"/>
      <c r="AG30" s="47"/>
      <c r="AH30" s="47"/>
      <c r="AI30" s="47"/>
      <c r="AJ30" s="47"/>
      <c r="AK30" s="47"/>
      <c r="AL30" s="47"/>
      <c r="AM30" s="47"/>
      <c r="AN30" s="47"/>
    </row>
  </sheetData>
  <sheetProtection/>
  <mergeCells count="2">
    <mergeCell ref="AG9:AG10"/>
    <mergeCell ref="AN9:AN10"/>
  </mergeCells>
  <printOptions/>
  <pageMargins left="0.31496062992125984" right="0.1968503937007874" top="0.15748031496062992" bottom="0.15748031496062992" header="0.31496062992125984" footer="0.31496062992125984"/>
  <pageSetup fitToHeight="1" fitToWidth="1" horizontalDpi="180" verticalDpi="18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9"/>
  <sheetViews>
    <sheetView zoomScalePageLayoutView="0" workbookViewId="0" topLeftCell="A1">
      <selection activeCell="I6" sqref="I6:I19"/>
    </sheetView>
  </sheetViews>
  <sheetFormatPr defaultColWidth="9.140625" defaultRowHeight="15"/>
  <cols>
    <col min="2" max="2" width="26.57421875" style="0" customWidth="1"/>
    <col min="11" max="11" width="14.8515625" style="0" customWidth="1"/>
    <col min="12" max="12" width="17.00390625" style="0" customWidth="1"/>
  </cols>
  <sheetData>
    <row r="4" spans="1:12" ht="15">
      <c r="A4" s="118" t="str">
        <f>'Расчет -30%'!A9</f>
        <v>№</v>
      </c>
      <c r="B4" s="118" t="str">
        <f>'Расчет -30%'!B9</f>
        <v>Наименование</v>
      </c>
      <c r="C4" s="121">
        <v>2017</v>
      </c>
      <c r="D4" s="121">
        <v>2017</v>
      </c>
      <c r="E4" s="121">
        <v>2017</v>
      </c>
      <c r="F4" s="102">
        <v>2017</v>
      </c>
      <c r="G4" s="121">
        <v>2018</v>
      </c>
      <c r="H4" s="121">
        <v>2018</v>
      </c>
      <c r="I4" s="121">
        <v>2018</v>
      </c>
      <c r="J4" s="102">
        <v>2018</v>
      </c>
      <c r="K4" s="102" t="s">
        <v>126</v>
      </c>
      <c r="L4" s="12" t="s">
        <v>128</v>
      </c>
    </row>
    <row r="5" spans="1:12" ht="15">
      <c r="A5" s="118">
        <f>'Расчет -30%'!A10</f>
        <v>0</v>
      </c>
      <c r="B5" s="118">
        <f>'Расчет -30%'!B10</f>
        <v>0</v>
      </c>
      <c r="C5" s="121" t="s">
        <v>123</v>
      </c>
      <c r="D5" s="121" t="s">
        <v>124</v>
      </c>
      <c r="E5" s="121" t="s">
        <v>125</v>
      </c>
      <c r="F5" s="102" t="s">
        <v>114</v>
      </c>
      <c r="G5" s="121" t="s">
        <v>123</v>
      </c>
      <c r="H5" s="121" t="s">
        <v>124</v>
      </c>
      <c r="I5" s="121" t="s">
        <v>125</v>
      </c>
      <c r="J5" s="102" t="s">
        <v>114</v>
      </c>
      <c r="K5" s="102" t="s">
        <v>127</v>
      </c>
      <c r="L5" s="119" t="s">
        <v>129</v>
      </c>
    </row>
    <row r="6" spans="1:12" ht="15">
      <c r="A6" s="118">
        <f>'Расчет -30%'!A11</f>
        <v>1</v>
      </c>
      <c r="B6" s="118" t="str">
        <f>'Расчет -30%'!B11</f>
        <v>Большееланское сел.пос. </v>
      </c>
      <c r="C6" s="122">
        <v>0</v>
      </c>
      <c r="D6" s="122">
        <v>4126.2</v>
      </c>
      <c r="E6" s="122">
        <v>3150.2</v>
      </c>
      <c r="F6" s="100">
        <f>C6+D6+E6</f>
        <v>7276.4</v>
      </c>
      <c r="G6" s="122"/>
      <c r="H6" s="122">
        <v>8239.5</v>
      </c>
      <c r="I6" s="123">
        <f>'Расчет -35% (2)'!AN11</f>
        <v>0</v>
      </c>
      <c r="J6" s="103">
        <f>G6+H6+I6</f>
        <v>8239.5</v>
      </c>
      <c r="K6" s="100">
        <f>'Расчет -30%'!X11</f>
        <v>1916</v>
      </c>
      <c r="L6" s="94">
        <f>J6+K6-F6</f>
        <v>2879.1000000000004</v>
      </c>
    </row>
    <row r="7" spans="1:12" ht="15">
      <c r="A7" s="118">
        <v>2</v>
      </c>
      <c r="B7" s="118" t="str">
        <f>'Расчет -30%'!B12</f>
        <v>Железнодорожное сел.пос. </v>
      </c>
      <c r="C7" s="122"/>
      <c r="D7" s="122">
        <v>4074.7</v>
      </c>
      <c r="E7" s="122">
        <v>0</v>
      </c>
      <c r="F7" s="100">
        <f aca="true" t="shared" si="0" ref="F7:F19">C7+D7+E7</f>
        <v>4074.7</v>
      </c>
      <c r="G7" s="122"/>
      <c r="H7" s="122">
        <v>2702.5</v>
      </c>
      <c r="I7" s="123">
        <f>'Расчет -35% (2)'!AN12</f>
        <v>0</v>
      </c>
      <c r="J7" s="103">
        <f aca="true" t="shared" si="1" ref="J7:J19">G7+H7+I7</f>
        <v>2702.5</v>
      </c>
      <c r="K7" s="100">
        <f>'Расчет -30%'!X12</f>
        <v>876</v>
      </c>
      <c r="L7" s="94">
        <f aca="true" t="shared" si="2" ref="L7:L18">J7+K7-F7</f>
        <v>-496.1999999999998</v>
      </c>
    </row>
    <row r="8" spans="1:12" ht="15">
      <c r="A8" s="118">
        <f>'Расчет -30%'!A13</f>
        <v>0</v>
      </c>
      <c r="B8" s="118" t="str">
        <f>'Расчет -30%'!B13</f>
        <v>Мальтинское сел.пос.</v>
      </c>
      <c r="C8" s="122">
        <v>0</v>
      </c>
      <c r="D8" s="122">
        <v>7222.8</v>
      </c>
      <c r="E8" s="122">
        <v>0</v>
      </c>
      <c r="F8" s="100">
        <f t="shared" si="0"/>
        <v>7222.8</v>
      </c>
      <c r="G8" s="122"/>
      <c r="H8" s="122">
        <v>0</v>
      </c>
      <c r="I8" s="123">
        <f>'Расчет -35% (2)'!AN13</f>
        <v>0</v>
      </c>
      <c r="J8" s="103">
        <f t="shared" si="1"/>
        <v>0</v>
      </c>
      <c r="K8" s="100">
        <f>'Расчет -30%'!X13</f>
        <v>0</v>
      </c>
      <c r="L8" s="94">
        <f t="shared" si="2"/>
        <v>-7222.8</v>
      </c>
    </row>
    <row r="9" spans="1:12" ht="15">
      <c r="A9" s="118">
        <f>'Расчет -30%'!A14</f>
        <v>3</v>
      </c>
      <c r="B9" s="118" t="str">
        <f>'Расчет -30%'!B14</f>
        <v>Новожилкинское сел.пос.</v>
      </c>
      <c r="C9" s="122">
        <v>251.5</v>
      </c>
      <c r="D9" s="122">
        <v>9851</v>
      </c>
      <c r="E9" s="122">
        <v>3482.7</v>
      </c>
      <c r="F9" s="100">
        <f t="shared" si="0"/>
        <v>13585.2</v>
      </c>
      <c r="G9" s="122">
        <v>148.4</v>
      </c>
      <c r="H9" s="122">
        <v>8307.3</v>
      </c>
      <c r="I9" s="123">
        <f>'Расчет -35% (2)'!AN14</f>
        <v>2938.8983821123466</v>
      </c>
      <c r="J9" s="103">
        <f t="shared" si="1"/>
        <v>11394.598382112345</v>
      </c>
      <c r="K9" s="100">
        <f>'Расчет -30%'!X14</f>
        <v>628</v>
      </c>
      <c r="L9" s="94">
        <f t="shared" si="2"/>
        <v>-1562.6016178876562</v>
      </c>
    </row>
    <row r="10" spans="1:12" ht="15">
      <c r="A10" s="118">
        <f>'Расчет -30%'!A15</f>
        <v>4</v>
      </c>
      <c r="B10" s="118" t="str">
        <f>'Расчет -30%'!B15</f>
        <v>Новомальтинское сел.пос.</v>
      </c>
      <c r="C10" s="122">
        <v>0</v>
      </c>
      <c r="D10" s="122">
        <v>5909.8</v>
      </c>
      <c r="E10" s="122">
        <v>4845.5</v>
      </c>
      <c r="F10" s="100">
        <f t="shared" si="0"/>
        <v>10755.3</v>
      </c>
      <c r="G10" s="122"/>
      <c r="H10" s="122">
        <v>3864.4</v>
      </c>
      <c r="I10" s="123">
        <f>'Расчет -35% (2)'!AN15</f>
        <v>6931.096164333766</v>
      </c>
      <c r="J10" s="103">
        <f t="shared" si="1"/>
        <v>10795.496164333767</v>
      </c>
      <c r="K10" s="100">
        <f>'Расчет -30%'!X15</f>
        <v>52</v>
      </c>
      <c r="L10" s="94">
        <f t="shared" si="2"/>
        <v>92.19616433376723</v>
      </c>
    </row>
    <row r="11" spans="1:12" ht="15">
      <c r="A11" s="118">
        <f>'Расчет -30%'!A16</f>
        <v>5</v>
      </c>
      <c r="B11" s="118" t="str">
        <f>'Расчет -30%'!B16</f>
        <v>Раздольинское сел.пос.</v>
      </c>
      <c r="C11" s="122">
        <v>243.9</v>
      </c>
      <c r="D11" s="122">
        <v>3983.4</v>
      </c>
      <c r="E11" s="122">
        <v>5732.3</v>
      </c>
      <c r="F11" s="100">
        <f t="shared" si="0"/>
        <v>9959.6</v>
      </c>
      <c r="G11" s="122">
        <v>488.8</v>
      </c>
      <c r="H11" s="122">
        <v>5540.6</v>
      </c>
      <c r="I11" s="123">
        <f>'Расчет -35% (2)'!AN16</f>
        <v>4013.5975277222374</v>
      </c>
      <c r="J11" s="103">
        <f t="shared" si="1"/>
        <v>10042.997527722238</v>
      </c>
      <c r="K11" s="100">
        <f>'Расчет -30%'!X16</f>
        <v>39</v>
      </c>
      <c r="L11" s="94">
        <f t="shared" si="2"/>
        <v>122.39752772223801</v>
      </c>
    </row>
    <row r="12" spans="1:12" ht="15">
      <c r="A12" s="118">
        <f>'Расчет -30%'!A17</f>
        <v>6</v>
      </c>
      <c r="B12" s="118" t="str">
        <f>'Расчет -30%'!B17</f>
        <v>Сосновское сел.пос.</v>
      </c>
      <c r="C12" s="122">
        <v>0</v>
      </c>
      <c r="D12" s="122">
        <v>5322.6</v>
      </c>
      <c r="E12" s="122">
        <v>2910.7</v>
      </c>
      <c r="F12" s="100">
        <f t="shared" si="0"/>
        <v>8233.3</v>
      </c>
      <c r="G12" s="122"/>
      <c r="H12" s="122">
        <v>3551.9</v>
      </c>
      <c r="I12" s="123">
        <f>'Расчет -35% (2)'!AN17</f>
        <v>315.9570987093255</v>
      </c>
      <c r="J12" s="103">
        <f t="shared" si="1"/>
        <v>3867.857098709326</v>
      </c>
      <c r="K12" s="100">
        <f>'Расчет -30%'!X17</f>
        <v>2254</v>
      </c>
      <c r="L12" s="94">
        <f t="shared" si="2"/>
        <v>-2111.442901290673</v>
      </c>
    </row>
    <row r="13" spans="1:12" ht="15">
      <c r="A13" s="118">
        <f>'Расчет -30%'!A18</f>
        <v>7</v>
      </c>
      <c r="B13" s="118" t="str">
        <f>'Расчет -30%'!B18</f>
        <v>Тальянское сел.пос.</v>
      </c>
      <c r="C13" s="122">
        <v>257.9</v>
      </c>
      <c r="D13" s="122">
        <v>2374.8</v>
      </c>
      <c r="E13" s="122">
        <v>3128.6</v>
      </c>
      <c r="F13" s="100">
        <f t="shared" si="0"/>
        <v>5761.3</v>
      </c>
      <c r="G13" s="122">
        <v>535.5</v>
      </c>
      <c r="H13" s="122">
        <v>3927</v>
      </c>
      <c r="I13" s="123">
        <f>'Расчет -35% (2)'!AN18</f>
        <v>0</v>
      </c>
      <c r="J13" s="103">
        <f t="shared" si="1"/>
        <v>4462.5</v>
      </c>
      <c r="K13" s="100">
        <f>'Расчет -30%'!X18</f>
        <v>4</v>
      </c>
      <c r="L13" s="94">
        <f t="shared" si="2"/>
        <v>-1294.8000000000002</v>
      </c>
    </row>
    <row r="14" spans="1:12" ht="15">
      <c r="A14" s="118">
        <f>'Расчет -30%'!A19</f>
        <v>8</v>
      </c>
      <c r="B14" s="118" t="str">
        <f>'Расчет -30%'!B19</f>
        <v>Белореченское гор.пос. </v>
      </c>
      <c r="C14" s="122">
        <v>0</v>
      </c>
      <c r="D14" s="122">
        <v>0</v>
      </c>
      <c r="E14" s="122">
        <v>0</v>
      </c>
      <c r="F14" s="100">
        <f t="shared" si="0"/>
        <v>0</v>
      </c>
      <c r="G14" s="122"/>
      <c r="H14" s="122">
        <v>0</v>
      </c>
      <c r="I14" s="123">
        <f>'Расчет -35% (2)'!AN19</f>
        <v>0</v>
      </c>
      <c r="J14" s="103">
        <f t="shared" si="1"/>
        <v>0</v>
      </c>
      <c r="K14" s="100">
        <f>'Расчет -30%'!X19</f>
        <v>1913</v>
      </c>
      <c r="L14" s="94">
        <f t="shared" si="2"/>
        <v>1913</v>
      </c>
    </row>
    <row r="15" spans="1:12" ht="15">
      <c r="A15" s="118">
        <f>'Расчет -30%'!A20</f>
        <v>9</v>
      </c>
      <c r="B15" s="118" t="str">
        <f>'Расчет -30%'!B20</f>
        <v>Мишелевское гор.пос. </v>
      </c>
      <c r="C15" s="122">
        <v>2745.7</v>
      </c>
      <c r="D15" s="122">
        <v>10532.4</v>
      </c>
      <c r="E15" s="122">
        <v>0</v>
      </c>
      <c r="F15" s="100">
        <f t="shared" si="0"/>
        <v>13278.099999999999</v>
      </c>
      <c r="G15" s="122">
        <v>4848.9</v>
      </c>
      <c r="H15" s="122">
        <v>8213.5</v>
      </c>
      <c r="I15" s="123">
        <f>'Расчет -35% (2)'!AN20</f>
        <v>0</v>
      </c>
      <c r="J15" s="103">
        <f t="shared" si="1"/>
        <v>13062.4</v>
      </c>
      <c r="K15" s="100">
        <f>'Расчет -30%'!X20</f>
        <v>2187</v>
      </c>
      <c r="L15" s="94">
        <f t="shared" si="2"/>
        <v>1971.300000000001</v>
      </c>
    </row>
    <row r="16" spans="1:12" ht="15">
      <c r="A16" s="118">
        <f>'Расчет -30%'!A21</f>
        <v>10</v>
      </c>
      <c r="B16" s="118" t="str">
        <f>'Расчет -30%'!B21</f>
        <v>Среднинское гор.пос.</v>
      </c>
      <c r="C16" s="122">
        <v>0</v>
      </c>
      <c r="D16" s="122">
        <v>0</v>
      </c>
      <c r="E16" s="122">
        <v>0</v>
      </c>
      <c r="F16" s="100">
        <f t="shared" si="0"/>
        <v>0</v>
      </c>
      <c r="G16" s="122"/>
      <c r="H16" s="122"/>
      <c r="I16" s="123">
        <f>'Расчет -35% (2)'!AN21</f>
        <v>0</v>
      </c>
      <c r="J16" s="103">
        <f t="shared" si="1"/>
        <v>0</v>
      </c>
      <c r="K16" s="100">
        <f>'Расчет -30%'!X21</f>
        <v>5067</v>
      </c>
      <c r="L16" s="94">
        <f t="shared" si="2"/>
        <v>5067</v>
      </c>
    </row>
    <row r="17" spans="1:12" ht="15">
      <c r="A17" s="118">
        <f>'Расчет -30%'!A22</f>
        <v>11</v>
      </c>
      <c r="B17" s="118" t="str">
        <f>'Расчет -30%'!B22</f>
        <v>Тайтурское гор.пос. </v>
      </c>
      <c r="C17" s="122">
        <v>4608.1</v>
      </c>
      <c r="D17" s="122">
        <v>9999.5</v>
      </c>
      <c r="E17" s="122">
        <v>0</v>
      </c>
      <c r="F17" s="100">
        <f t="shared" si="0"/>
        <v>14607.6</v>
      </c>
      <c r="G17" s="122">
        <v>4332.6</v>
      </c>
      <c r="H17" s="122">
        <v>8055.9</v>
      </c>
      <c r="I17" s="123">
        <f>'Расчет -35% (2)'!AN22</f>
        <v>200.45082712234355</v>
      </c>
      <c r="J17" s="103">
        <f t="shared" si="1"/>
        <v>12588.950827122344</v>
      </c>
      <c r="K17" s="100">
        <f>'Расчет -30%'!X22</f>
        <v>466</v>
      </c>
      <c r="L17" s="94">
        <f t="shared" si="2"/>
        <v>-1552.6491728776564</v>
      </c>
    </row>
    <row r="18" spans="1:12" ht="15">
      <c r="A18" s="118">
        <f>'Расчет -30%'!A23</f>
        <v>12</v>
      </c>
      <c r="B18" s="118" t="str">
        <f>'Расчет -30%'!B23</f>
        <v>Тельминское гор.пос.  </v>
      </c>
      <c r="C18" s="122">
        <v>7048.1</v>
      </c>
      <c r="D18" s="122">
        <v>6504.7</v>
      </c>
      <c r="E18" s="122">
        <v>0</v>
      </c>
      <c r="F18" s="100">
        <f t="shared" si="0"/>
        <v>13552.8</v>
      </c>
      <c r="G18" s="122">
        <v>9008.4</v>
      </c>
      <c r="H18" s="122">
        <v>6044.8</v>
      </c>
      <c r="I18" s="123">
        <f>'Расчет -35% (2)'!AN23</f>
        <v>0</v>
      </c>
      <c r="J18" s="103">
        <f t="shared" si="1"/>
        <v>15053.2</v>
      </c>
      <c r="K18" s="100">
        <f>'Расчет -30%'!X23</f>
        <v>68</v>
      </c>
      <c r="L18" s="94">
        <f t="shared" si="2"/>
        <v>1568.4000000000015</v>
      </c>
    </row>
    <row r="19" spans="1:12" ht="15">
      <c r="A19" s="118"/>
      <c r="B19" s="118"/>
      <c r="C19" s="121">
        <f>SUM(C6:C18)</f>
        <v>15155.2</v>
      </c>
      <c r="D19" s="121">
        <f>SUM(D6:D18)</f>
        <v>69901.90000000001</v>
      </c>
      <c r="E19" s="121">
        <f>SUM(E6:E18)</f>
        <v>23250</v>
      </c>
      <c r="F19" s="102">
        <f t="shared" si="0"/>
        <v>108307.1</v>
      </c>
      <c r="G19" s="121">
        <f>SUM(G6:G18)</f>
        <v>19362.6</v>
      </c>
      <c r="H19" s="121">
        <f>SUM(H6:H18)</f>
        <v>58447.40000000001</v>
      </c>
      <c r="I19" s="123">
        <f>'Расчет -35% (2)'!AN24</f>
        <v>14400.000000000018</v>
      </c>
      <c r="J19" s="120">
        <f t="shared" si="1"/>
        <v>92210.00000000001</v>
      </c>
      <c r="K19" s="102">
        <f>'Расчет -30%'!X24</f>
        <v>15470</v>
      </c>
      <c r="L19" s="9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0"/>
  <sheetViews>
    <sheetView zoomScalePageLayoutView="0" workbookViewId="0" topLeftCell="A4">
      <pane xSplit="2" ySplit="7" topLeftCell="Y1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W25" sqref="W25:Y25"/>
    </sheetView>
  </sheetViews>
  <sheetFormatPr defaultColWidth="9.140625" defaultRowHeight="15"/>
  <cols>
    <col min="1" max="1" width="4.00390625" style="0" customWidth="1"/>
    <col min="2" max="2" width="19.7109375" style="0" customWidth="1"/>
    <col min="3" max="3" width="9.00390625" style="0" customWidth="1"/>
    <col min="4" max="4" width="7.28125" style="0" customWidth="1"/>
    <col min="5" max="5" width="8.00390625" style="0" customWidth="1"/>
    <col min="6" max="6" width="7.8515625" style="0" customWidth="1"/>
    <col min="7" max="22" width="7.7109375" style="0" customWidth="1"/>
    <col min="23" max="23" width="10.8515625" style="0" customWidth="1"/>
    <col min="24" max="27" width="11.421875" style="0" customWidth="1"/>
    <col min="28" max="28" width="7.57421875" style="0" customWidth="1"/>
    <col min="29" max="29" width="6.7109375" style="0" customWidth="1"/>
    <col min="30" max="30" width="6.421875" style="0" hidden="1" customWidth="1"/>
    <col min="31" max="31" width="7.8515625" style="0" customWidth="1"/>
    <col min="32" max="32" width="6.28125" style="0" customWidth="1"/>
    <col min="33" max="33" width="6.421875" style="0" hidden="1" customWidth="1"/>
    <col min="34" max="34" width="5.8515625" style="0" customWidth="1"/>
    <col min="35" max="35" width="7.8515625" style="0" customWidth="1"/>
    <col min="36" max="37" width="7.140625" style="0" customWidth="1"/>
    <col min="38" max="38" width="11.8515625" style="0" customWidth="1"/>
    <col min="39" max="39" width="10.28125" style="0" customWidth="1"/>
    <col min="40" max="40" width="12.00390625" style="0" customWidth="1"/>
    <col min="41" max="41" width="10.7109375" style="0" customWidth="1"/>
    <col min="42" max="42" width="9.140625" style="0" customWidth="1"/>
    <col min="43" max="43" width="0.13671875" style="0" customWidth="1"/>
    <col min="44" max="44" width="9.140625" style="0" hidden="1" customWidth="1"/>
    <col min="45" max="45" width="13.28125" style="0" hidden="1" customWidth="1"/>
    <col min="46" max="46" width="9.140625" style="0" hidden="1" customWidth="1"/>
  </cols>
  <sheetData>
    <row r="2" spans="5:13" ht="18.75"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5:13" ht="18.75">
      <c r="E3" s="1" t="s">
        <v>0</v>
      </c>
      <c r="F3" s="1"/>
      <c r="G3" s="1"/>
      <c r="H3" s="1"/>
      <c r="I3" s="1"/>
      <c r="J3" s="1"/>
      <c r="K3" s="1"/>
      <c r="L3" s="1"/>
      <c r="M3" s="1"/>
    </row>
    <row r="4" spans="5:13" ht="18.75">
      <c r="E4" s="1"/>
      <c r="F4" s="1"/>
      <c r="G4" s="1"/>
      <c r="H4" s="1"/>
      <c r="I4" s="1"/>
      <c r="J4" s="1"/>
      <c r="K4" s="1"/>
      <c r="L4" s="1"/>
      <c r="M4" s="1"/>
    </row>
    <row r="5" spans="5:13" ht="18.75">
      <c r="E5" s="1"/>
      <c r="F5" s="1"/>
      <c r="G5" s="1"/>
      <c r="H5" s="1"/>
      <c r="I5" s="1"/>
      <c r="J5" s="1" t="s">
        <v>89</v>
      </c>
      <c r="K5" s="1"/>
      <c r="L5" s="1"/>
      <c r="M5" s="1"/>
    </row>
    <row r="6" spans="5:13" ht="23.25" customHeight="1">
      <c r="E6" s="1"/>
      <c r="F6" s="1"/>
      <c r="G6" s="1"/>
      <c r="H6" s="1"/>
      <c r="I6" s="1"/>
      <c r="J6" s="1" t="s">
        <v>108</v>
      </c>
      <c r="K6" s="1"/>
      <c r="L6" s="1"/>
      <c r="M6" s="1"/>
    </row>
    <row r="7" spans="5:13" ht="29.25" customHeight="1">
      <c r="E7" s="1"/>
      <c r="F7" s="1"/>
      <c r="G7" s="1"/>
      <c r="H7" s="1"/>
      <c r="I7" s="1"/>
      <c r="J7" s="1"/>
      <c r="K7" s="1"/>
      <c r="L7" s="1"/>
      <c r="M7" s="1"/>
    </row>
    <row r="8" spans="32:37" ht="20.25" customHeight="1" thickBot="1">
      <c r="AF8" t="s">
        <v>111</v>
      </c>
      <c r="AI8" s="33"/>
      <c r="AJ8" s="33"/>
      <c r="AK8" s="33"/>
    </row>
    <row r="9" spans="1:46" ht="51.75" customHeight="1">
      <c r="A9" s="41" t="s">
        <v>2</v>
      </c>
      <c r="B9" s="41" t="s">
        <v>3</v>
      </c>
      <c r="C9" s="62" t="s">
        <v>86</v>
      </c>
      <c r="D9" s="61" t="s">
        <v>7</v>
      </c>
      <c r="E9" s="41" t="s">
        <v>8</v>
      </c>
      <c r="F9" s="41" t="s">
        <v>87</v>
      </c>
      <c r="G9" s="41" t="s">
        <v>88</v>
      </c>
      <c r="H9" s="41" t="s">
        <v>90</v>
      </c>
      <c r="I9" s="41" t="s">
        <v>91</v>
      </c>
      <c r="J9" s="41" t="s">
        <v>92</v>
      </c>
      <c r="K9" s="61" t="s">
        <v>15</v>
      </c>
      <c r="L9" s="41" t="s">
        <v>93</v>
      </c>
      <c r="M9" s="41" t="s">
        <v>94</v>
      </c>
      <c r="N9" s="41" t="s">
        <v>95</v>
      </c>
      <c r="O9" s="41" t="s">
        <v>110</v>
      </c>
      <c r="P9" s="41" t="s">
        <v>96</v>
      </c>
      <c r="Q9" s="41" t="s">
        <v>97</v>
      </c>
      <c r="R9" s="41" t="s">
        <v>98</v>
      </c>
      <c r="S9" s="19" t="s">
        <v>109</v>
      </c>
      <c r="T9" s="42" t="s">
        <v>104</v>
      </c>
      <c r="U9" s="41" t="s">
        <v>23</v>
      </c>
      <c r="V9" s="49" t="s">
        <v>25</v>
      </c>
      <c r="W9" s="77" t="s">
        <v>99</v>
      </c>
      <c r="X9" s="126" t="s">
        <v>100</v>
      </c>
      <c r="Y9" s="28" t="s">
        <v>29</v>
      </c>
      <c r="Z9" s="28" t="s">
        <v>135</v>
      </c>
      <c r="AA9" s="28" t="s">
        <v>135</v>
      </c>
      <c r="AB9" s="131" t="s">
        <v>101</v>
      </c>
      <c r="AC9" s="87" t="s">
        <v>33</v>
      </c>
      <c r="AD9" s="85" t="s">
        <v>34</v>
      </c>
      <c r="AE9" s="81" t="s">
        <v>102</v>
      </c>
      <c r="AF9" s="73" t="s">
        <v>103</v>
      </c>
      <c r="AG9" s="147" t="s">
        <v>78</v>
      </c>
      <c r="AH9" s="48" t="s">
        <v>133</v>
      </c>
      <c r="AI9" s="49" t="s">
        <v>73</v>
      </c>
      <c r="AJ9" s="49"/>
      <c r="AK9" s="49"/>
      <c r="AL9" s="28" t="s">
        <v>55</v>
      </c>
      <c r="AM9" s="28" t="s">
        <v>28</v>
      </c>
      <c r="AN9" s="149" t="s">
        <v>85</v>
      </c>
      <c r="AO9" s="12"/>
      <c r="AP9" s="12" t="s">
        <v>114</v>
      </c>
      <c r="AQ9" s="98" t="s">
        <v>116</v>
      </c>
      <c r="AR9" s="12"/>
      <c r="AS9" s="100" t="s">
        <v>119</v>
      </c>
      <c r="AT9" s="125" t="s">
        <v>131</v>
      </c>
    </row>
    <row r="10" spans="1:46" ht="45" customHeight="1">
      <c r="A10" s="43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52" t="s">
        <v>105</v>
      </c>
      <c r="U10" s="43" t="s">
        <v>24</v>
      </c>
      <c r="V10" s="51" t="s">
        <v>81</v>
      </c>
      <c r="W10" s="78"/>
      <c r="X10" s="127" t="s">
        <v>139</v>
      </c>
      <c r="Y10" s="28" t="s">
        <v>132</v>
      </c>
      <c r="Z10" s="28" t="s">
        <v>133</v>
      </c>
      <c r="AA10" s="28" t="s">
        <v>134</v>
      </c>
      <c r="AB10" s="132"/>
      <c r="AC10" s="88"/>
      <c r="AD10" s="86"/>
      <c r="AE10" s="82"/>
      <c r="AF10" s="74"/>
      <c r="AG10" s="148"/>
      <c r="AH10" s="50" t="s">
        <v>139</v>
      </c>
      <c r="AI10" s="51" t="s">
        <v>121</v>
      </c>
      <c r="AJ10" s="106" t="s">
        <v>122</v>
      </c>
      <c r="AK10" s="106">
        <v>0.3</v>
      </c>
      <c r="AL10" s="28"/>
      <c r="AM10" s="28"/>
      <c r="AN10" s="150"/>
      <c r="AO10" s="12" t="s">
        <v>113</v>
      </c>
      <c r="AP10" s="99" t="s">
        <v>117</v>
      </c>
      <c r="AQ10" s="98" t="s">
        <v>115</v>
      </c>
      <c r="AR10" s="12" t="s">
        <v>118</v>
      </c>
      <c r="AS10" s="105" t="s">
        <v>120</v>
      </c>
      <c r="AT10" t="s">
        <v>130</v>
      </c>
    </row>
    <row r="11" spans="1:46" ht="48.75" customHeight="1">
      <c r="A11" s="13">
        <v>1</v>
      </c>
      <c r="B11" s="45" t="s">
        <v>40</v>
      </c>
      <c r="C11" s="54">
        <f>D11+K11</f>
        <v>3465.9</v>
      </c>
      <c r="D11" s="54">
        <f>E11+F11+G11+H11+I11+J11</f>
        <v>3372.5</v>
      </c>
      <c r="E11" s="67">
        <v>1308.1</v>
      </c>
      <c r="F11" s="67">
        <v>0</v>
      </c>
      <c r="G11" s="67">
        <v>179.7</v>
      </c>
      <c r="H11" s="67">
        <v>1854.7</v>
      </c>
      <c r="I11" s="67">
        <v>30</v>
      </c>
      <c r="J11" s="67">
        <v>0</v>
      </c>
      <c r="K11" s="54">
        <f>L11+M11+N11+O11+P11+Q11+R11</f>
        <v>93.4</v>
      </c>
      <c r="L11" s="67">
        <v>0</v>
      </c>
      <c r="M11" s="67">
        <v>77.4</v>
      </c>
      <c r="N11" s="67">
        <v>0</v>
      </c>
      <c r="O11" s="67">
        <v>0</v>
      </c>
      <c r="P11" s="67">
        <v>0</v>
      </c>
      <c r="Q11" s="67">
        <v>16</v>
      </c>
      <c r="R11" s="67">
        <v>0</v>
      </c>
      <c r="S11" s="67">
        <f aca="true" t="shared" si="0" ref="S11:S18">T11+U11+V11</f>
        <v>8239.5</v>
      </c>
      <c r="T11" s="67">
        <v>0</v>
      </c>
      <c r="U11" s="67">
        <v>0</v>
      </c>
      <c r="V11" s="68">
        <f>7433.5+806</f>
        <v>8239.5</v>
      </c>
      <c r="W11" s="79">
        <f>C11+S11</f>
        <v>11705.4</v>
      </c>
      <c r="X11" s="128">
        <f>2461-545</f>
        <v>1916</v>
      </c>
      <c r="Y11" s="134">
        <f>AB11+AC11+AD11+AE11+AF11+AG11+AK11-Z11-AA11-AH11</f>
        <v>10177.7</v>
      </c>
      <c r="Z11" s="134">
        <v>1998.8</v>
      </c>
      <c r="AA11" s="134">
        <v>258.9</v>
      </c>
      <c r="AB11" s="71">
        <v>4885</v>
      </c>
      <c r="AC11" s="89">
        <v>5091</v>
      </c>
      <c r="AD11" s="83"/>
      <c r="AE11" s="79">
        <v>590</v>
      </c>
      <c r="AF11" s="79">
        <v>0</v>
      </c>
      <c r="AG11" s="71"/>
      <c r="AH11" s="54">
        <v>545</v>
      </c>
      <c r="AI11" s="54">
        <f>16602-AB11-AC11-AE11</f>
        <v>6036</v>
      </c>
      <c r="AJ11" s="106">
        <v>0.4</v>
      </c>
      <c r="AK11" s="107">
        <f>AI11*AJ11</f>
        <v>2414.4</v>
      </c>
      <c r="AL11" s="54">
        <f>W11-Y11+X11</f>
        <v>3443.699999999999</v>
      </c>
      <c r="AM11" s="55" t="b">
        <f>IF(AL11&lt;0,AL11)</f>
        <v>0</v>
      </c>
      <c r="AN11" s="56">
        <f>AM11/X26*U28</f>
        <v>0</v>
      </c>
      <c r="AO11" s="12">
        <v>806</v>
      </c>
      <c r="AP11" s="94">
        <f>AN11+AO11</f>
        <v>806</v>
      </c>
      <c r="AQ11" s="97">
        <f>AP11+AM11</f>
        <v>806</v>
      </c>
      <c r="AR11" s="12">
        <v>1589</v>
      </c>
      <c r="AS11" s="103">
        <f>AP11-AR11</f>
        <v>-783</v>
      </c>
      <c r="AT11">
        <f>AI11+AB11+AC11+AE11+AF11</f>
        <v>16602</v>
      </c>
    </row>
    <row r="12" spans="1:46" ht="48" customHeight="1">
      <c r="A12" s="46">
        <v>2</v>
      </c>
      <c r="B12" s="45" t="s">
        <v>41</v>
      </c>
      <c r="C12" s="54">
        <f aca="true" t="shared" si="1" ref="C12:C23">D12+K12</f>
        <v>7989.580000000001</v>
      </c>
      <c r="D12" s="54">
        <f aca="true" t="shared" si="2" ref="D12:D23">E12+F12+G12+H12+I12+J12</f>
        <v>7903.780000000001</v>
      </c>
      <c r="E12" s="67">
        <v>2653.78</v>
      </c>
      <c r="F12" s="67">
        <v>1219.4</v>
      </c>
      <c r="G12" s="67">
        <v>349.8</v>
      </c>
      <c r="H12" s="67">
        <v>3660.8</v>
      </c>
      <c r="I12" s="67">
        <v>20</v>
      </c>
      <c r="J12" s="67">
        <v>0</v>
      </c>
      <c r="K12" s="54">
        <f>L12+M12+N12+O12+P12+Q12+R12</f>
        <v>85.8</v>
      </c>
      <c r="L12" s="67">
        <v>20</v>
      </c>
      <c r="M12" s="67">
        <v>30</v>
      </c>
      <c r="N12" s="67">
        <v>0</v>
      </c>
      <c r="O12" s="67">
        <v>20.8</v>
      </c>
      <c r="P12" s="67">
        <v>0</v>
      </c>
      <c r="Q12" s="67">
        <v>15</v>
      </c>
      <c r="R12" s="67">
        <v>0</v>
      </c>
      <c r="S12" s="67">
        <f t="shared" si="0"/>
        <v>2702.5</v>
      </c>
      <c r="T12" s="67">
        <v>0</v>
      </c>
      <c r="U12" s="67">
        <v>0</v>
      </c>
      <c r="V12" s="68">
        <f>1966.4+736.1</f>
        <v>2702.5</v>
      </c>
      <c r="W12" s="79">
        <f aca="true" t="shared" si="3" ref="W12:W23">C12+S12</f>
        <v>10692.080000000002</v>
      </c>
      <c r="X12" s="128">
        <f>1661-785</f>
        <v>876</v>
      </c>
      <c r="Y12" s="134">
        <f aca="true" t="shared" si="4" ref="Y12:Y24">AB12+AC12+AD12+AE12+AF12+AG12+AK12-Z12-AA12-AH12</f>
        <v>10463.2</v>
      </c>
      <c r="Z12" s="134">
        <v>2292.9</v>
      </c>
      <c r="AA12" s="134">
        <v>351.3</v>
      </c>
      <c r="AB12" s="71">
        <v>3845</v>
      </c>
      <c r="AC12" s="89">
        <v>6339</v>
      </c>
      <c r="AD12" s="83"/>
      <c r="AE12" s="79">
        <v>500</v>
      </c>
      <c r="AF12" s="79">
        <v>0</v>
      </c>
      <c r="AG12" s="71"/>
      <c r="AH12" s="54">
        <v>785</v>
      </c>
      <c r="AI12" s="54">
        <f>18705-AB12-AC12-AE12-AF12</f>
        <v>8021</v>
      </c>
      <c r="AJ12" s="106">
        <v>0.4</v>
      </c>
      <c r="AK12" s="107">
        <f aca="true" t="shared" si="5" ref="AK12:AK24">AI12*AJ12</f>
        <v>3208.4</v>
      </c>
      <c r="AL12" s="54">
        <f aca="true" t="shared" si="6" ref="AL12:AL23">W12-Y12+X12</f>
        <v>1104.880000000001</v>
      </c>
      <c r="AM12" s="55" t="b">
        <f aca="true" t="shared" si="7" ref="AM12:AM23">IF(AL12&lt;0,AL12)</f>
        <v>0</v>
      </c>
      <c r="AN12" s="56">
        <f>AM12/X26*U28</f>
        <v>0</v>
      </c>
      <c r="AO12" s="12">
        <v>736.1</v>
      </c>
      <c r="AP12" s="94">
        <f aca="true" t="shared" si="8" ref="AP12:AP23">AN12+AO12</f>
        <v>736.1</v>
      </c>
      <c r="AQ12" s="97">
        <f aca="true" t="shared" si="9" ref="AQ12:AQ23">AP12+AM12</f>
        <v>736.1</v>
      </c>
      <c r="AR12" s="12">
        <v>3491</v>
      </c>
      <c r="AS12" s="103">
        <f aca="true" t="shared" si="10" ref="AS12:AS23">AP12-AR12</f>
        <v>-2754.9</v>
      </c>
      <c r="AT12">
        <f aca="true" t="shared" si="11" ref="AT12:AT24">AI12+AB12+AC12+AE12+AF12</f>
        <v>18705</v>
      </c>
    </row>
    <row r="13" spans="1:46" ht="48.75" customHeight="1" hidden="1">
      <c r="A13" s="63">
        <v>0</v>
      </c>
      <c r="B13" s="64" t="s">
        <v>42</v>
      </c>
      <c r="C13" s="65">
        <f t="shared" si="1"/>
        <v>0</v>
      </c>
      <c r="D13" s="65">
        <f t="shared" si="2"/>
        <v>0</v>
      </c>
      <c r="E13" s="65"/>
      <c r="F13" s="65"/>
      <c r="G13" s="65"/>
      <c r="H13" s="65"/>
      <c r="I13" s="65"/>
      <c r="J13" s="65"/>
      <c r="K13" s="65">
        <f>L13+M13+N13+P13+Q13+R13</f>
        <v>0</v>
      </c>
      <c r="L13" s="65"/>
      <c r="M13" s="65"/>
      <c r="N13" s="65"/>
      <c r="O13" s="65"/>
      <c r="P13" s="65"/>
      <c r="Q13" s="65"/>
      <c r="R13" s="65"/>
      <c r="S13" s="65"/>
      <c r="T13" s="65"/>
      <c r="U13" s="65">
        <v>0</v>
      </c>
      <c r="V13" s="69"/>
      <c r="W13" s="75">
        <f t="shared" si="3"/>
        <v>0</v>
      </c>
      <c r="X13" s="129"/>
      <c r="Y13" s="134">
        <f t="shared" si="4"/>
        <v>0</v>
      </c>
      <c r="Z13" s="134"/>
      <c r="AA13" s="134"/>
      <c r="AB13" s="72"/>
      <c r="AC13" s="90"/>
      <c r="AD13" s="84"/>
      <c r="AE13" s="75"/>
      <c r="AF13" s="75"/>
      <c r="AG13" s="72"/>
      <c r="AH13" s="65"/>
      <c r="AI13" s="65"/>
      <c r="AJ13" s="106">
        <v>0.4</v>
      </c>
      <c r="AK13" s="107">
        <f t="shared" si="5"/>
        <v>0</v>
      </c>
      <c r="AL13" s="65">
        <f t="shared" si="6"/>
        <v>0</v>
      </c>
      <c r="AM13" s="55" t="b">
        <f t="shared" si="7"/>
        <v>0</v>
      </c>
      <c r="AN13" s="66">
        <f>AM13/X26*U28</f>
        <v>0</v>
      </c>
      <c r="AO13" s="12"/>
      <c r="AP13" s="94">
        <f t="shared" si="8"/>
        <v>0</v>
      </c>
      <c r="AQ13" s="97">
        <f t="shared" si="9"/>
        <v>0</v>
      </c>
      <c r="AR13" s="12"/>
      <c r="AS13" s="103">
        <f t="shared" si="10"/>
        <v>0</v>
      </c>
      <c r="AT13">
        <f t="shared" si="11"/>
        <v>0</v>
      </c>
    </row>
    <row r="14" spans="1:46" ht="48.75" customHeight="1">
      <c r="A14" s="46">
        <v>3</v>
      </c>
      <c r="B14" s="45" t="s">
        <v>43</v>
      </c>
      <c r="C14" s="54">
        <f t="shared" si="1"/>
        <v>1583</v>
      </c>
      <c r="D14" s="54">
        <f t="shared" si="2"/>
        <v>1571</v>
      </c>
      <c r="E14" s="67">
        <v>409</v>
      </c>
      <c r="F14" s="67">
        <v>0</v>
      </c>
      <c r="G14" s="67">
        <v>102</v>
      </c>
      <c r="H14" s="67">
        <v>1040</v>
      </c>
      <c r="I14" s="67">
        <v>20</v>
      </c>
      <c r="J14" s="67">
        <v>0</v>
      </c>
      <c r="K14" s="54">
        <f aca="true" t="shared" si="12" ref="K14:K23">L14+M14+N14+O14+P14+Q14+R14</f>
        <v>12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12</v>
      </c>
      <c r="R14" s="67">
        <v>0</v>
      </c>
      <c r="S14" s="67">
        <f t="shared" si="0"/>
        <v>8455.7</v>
      </c>
      <c r="T14" s="67">
        <v>0</v>
      </c>
      <c r="U14" s="67">
        <v>148.4</v>
      </c>
      <c r="V14" s="68">
        <f>7605.6+701.7</f>
        <v>8307.300000000001</v>
      </c>
      <c r="W14" s="79">
        <f t="shared" si="3"/>
        <v>10038.7</v>
      </c>
      <c r="X14" s="128">
        <f>628</f>
        <v>628</v>
      </c>
      <c r="Y14" s="134">
        <f t="shared" si="4"/>
        <v>13468.199999999999</v>
      </c>
      <c r="Z14" s="134">
        <v>2292.9</v>
      </c>
      <c r="AA14" s="134">
        <v>110.7</v>
      </c>
      <c r="AB14" s="71">
        <v>4895</v>
      </c>
      <c r="AC14" s="89">
        <v>5799</v>
      </c>
      <c r="AD14" s="83"/>
      <c r="AE14" s="79">
        <v>729</v>
      </c>
      <c r="AF14" s="79">
        <v>0</v>
      </c>
      <c r="AG14" s="71"/>
      <c r="AH14" s="54">
        <v>0</v>
      </c>
      <c r="AI14" s="54">
        <f>22545-AB14-AC14-AE14-AF14</f>
        <v>11122</v>
      </c>
      <c r="AJ14" s="106">
        <v>0.4</v>
      </c>
      <c r="AK14" s="107">
        <f t="shared" si="5"/>
        <v>4448.8</v>
      </c>
      <c r="AL14" s="54">
        <f t="shared" si="6"/>
        <v>-2801.499999999998</v>
      </c>
      <c r="AM14" s="55">
        <f t="shared" si="7"/>
        <v>-2801.499999999998</v>
      </c>
      <c r="AN14" s="56">
        <f>AM14/X26*U28</f>
        <v>3090.315760444906</v>
      </c>
      <c r="AO14" s="12">
        <v>701.7</v>
      </c>
      <c r="AP14" s="94">
        <f t="shared" si="8"/>
        <v>3792.015760444906</v>
      </c>
      <c r="AQ14" s="97">
        <f t="shared" si="9"/>
        <v>990.5157604449078</v>
      </c>
      <c r="AR14" s="12">
        <v>4563</v>
      </c>
      <c r="AS14" s="103">
        <f t="shared" si="10"/>
        <v>-770.9842395550941</v>
      </c>
      <c r="AT14">
        <f t="shared" si="11"/>
        <v>22545</v>
      </c>
    </row>
    <row r="15" spans="1:46" ht="48.75" customHeight="1">
      <c r="A15" s="46">
        <v>4</v>
      </c>
      <c r="B15" s="45" t="s">
        <v>44</v>
      </c>
      <c r="C15" s="54">
        <f t="shared" si="1"/>
        <v>1528.1</v>
      </c>
      <c r="D15" s="54">
        <f>E15+F15+G15+H15+I15+J15</f>
        <v>1113.1</v>
      </c>
      <c r="E15" s="67">
        <v>500</v>
      </c>
      <c r="F15" s="67">
        <v>13.1</v>
      </c>
      <c r="G15" s="67">
        <v>100</v>
      </c>
      <c r="H15" s="67">
        <v>470</v>
      </c>
      <c r="I15" s="67">
        <v>30</v>
      </c>
      <c r="J15" s="67">
        <v>0</v>
      </c>
      <c r="K15" s="54">
        <f t="shared" si="12"/>
        <v>415</v>
      </c>
      <c r="L15" s="67">
        <v>0</v>
      </c>
      <c r="M15" s="67">
        <v>350</v>
      </c>
      <c r="N15" s="67">
        <v>0</v>
      </c>
      <c r="O15" s="67">
        <v>10</v>
      </c>
      <c r="P15" s="67">
        <v>0</v>
      </c>
      <c r="Q15" s="67">
        <v>5</v>
      </c>
      <c r="R15" s="67">
        <v>50</v>
      </c>
      <c r="S15" s="67">
        <f t="shared" si="0"/>
        <v>3864.4</v>
      </c>
      <c r="T15" s="67">
        <v>0</v>
      </c>
      <c r="U15" s="67">
        <v>0</v>
      </c>
      <c r="V15" s="68">
        <f>3387.3+477.1</f>
        <v>3864.4</v>
      </c>
      <c r="W15" s="79">
        <f t="shared" si="3"/>
        <v>5392.5</v>
      </c>
      <c r="X15" s="128">
        <f>921-869</f>
        <v>52</v>
      </c>
      <c r="Y15" s="134">
        <f t="shared" si="4"/>
        <v>10924.2</v>
      </c>
      <c r="Z15" s="134">
        <v>587.9</v>
      </c>
      <c r="AA15" s="134">
        <v>268.1</v>
      </c>
      <c r="AB15" s="71">
        <v>2578</v>
      </c>
      <c r="AC15" s="89">
        <v>6100</v>
      </c>
      <c r="AD15" s="83"/>
      <c r="AE15" s="79">
        <v>1815</v>
      </c>
      <c r="AF15" s="79">
        <v>683</v>
      </c>
      <c r="AG15" s="71"/>
      <c r="AH15" s="54">
        <v>869</v>
      </c>
      <c r="AI15" s="54">
        <f>14859-AB15-AC15-AE15-AF15</f>
        <v>3683</v>
      </c>
      <c r="AJ15" s="106">
        <v>0.4</v>
      </c>
      <c r="AK15" s="107">
        <f t="shared" si="5"/>
        <v>1473.2</v>
      </c>
      <c r="AL15" s="54">
        <f t="shared" si="6"/>
        <v>-5479.700000000001</v>
      </c>
      <c r="AM15" s="55">
        <f t="shared" si="7"/>
        <v>-5479.700000000001</v>
      </c>
      <c r="AN15" s="56">
        <f>AM15/X26*U28</f>
        <v>6044.620122259491</v>
      </c>
      <c r="AO15" s="12">
        <v>477.1</v>
      </c>
      <c r="AP15" s="94">
        <f t="shared" si="8"/>
        <v>6521.720122259491</v>
      </c>
      <c r="AQ15" s="97">
        <f t="shared" si="9"/>
        <v>1042.0201222594906</v>
      </c>
      <c r="AR15" s="12">
        <v>5443</v>
      </c>
      <c r="AS15" s="103">
        <f t="shared" si="10"/>
        <v>1078.7201222594913</v>
      </c>
      <c r="AT15">
        <f t="shared" si="11"/>
        <v>14859</v>
      </c>
    </row>
    <row r="16" spans="1:46" ht="48.75" customHeight="1">
      <c r="A16" s="46">
        <v>5</v>
      </c>
      <c r="B16" s="45" t="s">
        <v>45</v>
      </c>
      <c r="C16" s="54">
        <f t="shared" si="1"/>
        <v>1038.7</v>
      </c>
      <c r="D16" s="54">
        <f t="shared" si="2"/>
        <v>939.7</v>
      </c>
      <c r="E16" s="67">
        <v>414.7</v>
      </c>
      <c r="F16" s="67">
        <v>0</v>
      </c>
      <c r="G16" s="67">
        <v>100</v>
      </c>
      <c r="H16" s="67">
        <v>410</v>
      </c>
      <c r="I16" s="67">
        <v>15</v>
      </c>
      <c r="J16" s="67">
        <v>0</v>
      </c>
      <c r="K16" s="54">
        <f t="shared" si="12"/>
        <v>99</v>
      </c>
      <c r="L16" s="67">
        <v>0</v>
      </c>
      <c r="M16" s="67">
        <v>0</v>
      </c>
      <c r="N16" s="67">
        <v>0</v>
      </c>
      <c r="O16" s="67">
        <v>15</v>
      </c>
      <c r="P16" s="67">
        <v>0</v>
      </c>
      <c r="Q16" s="67">
        <v>9</v>
      </c>
      <c r="R16" s="67">
        <v>75</v>
      </c>
      <c r="S16" s="67">
        <f t="shared" si="0"/>
        <v>6029.400000000001</v>
      </c>
      <c r="T16" s="67">
        <v>0</v>
      </c>
      <c r="U16" s="67">
        <v>488.8</v>
      </c>
      <c r="V16" s="68">
        <f>5070.6+470</f>
        <v>5540.6</v>
      </c>
      <c r="W16" s="79">
        <f t="shared" si="3"/>
        <v>7068.1</v>
      </c>
      <c r="X16" s="128">
        <f>413-374</f>
        <v>39</v>
      </c>
      <c r="Y16" s="134">
        <f t="shared" si="4"/>
        <v>10446.300000000001</v>
      </c>
      <c r="Z16" s="134">
        <v>2351.7</v>
      </c>
      <c r="AA16" s="134">
        <v>128.6</v>
      </c>
      <c r="AB16" s="71">
        <v>2942</v>
      </c>
      <c r="AC16" s="89">
        <v>6924</v>
      </c>
      <c r="AD16" s="83"/>
      <c r="AE16" s="79">
        <v>1253</v>
      </c>
      <c r="AF16" s="79">
        <v>0</v>
      </c>
      <c r="AG16" s="71"/>
      <c r="AH16" s="54">
        <v>374</v>
      </c>
      <c r="AI16" s="54">
        <f>16573-AB16-AC16-AE16</f>
        <v>5454</v>
      </c>
      <c r="AJ16" s="106">
        <v>0.4</v>
      </c>
      <c r="AK16" s="107">
        <f t="shared" si="5"/>
        <v>2181.6</v>
      </c>
      <c r="AL16" s="54">
        <f t="shared" si="6"/>
        <v>-3339.2000000000007</v>
      </c>
      <c r="AM16" s="55">
        <f t="shared" si="7"/>
        <v>-3339.2000000000007</v>
      </c>
      <c r="AN16" s="56">
        <f>AM16/X26*U28</f>
        <v>3683.4490049179512</v>
      </c>
      <c r="AO16" s="12">
        <v>470</v>
      </c>
      <c r="AP16" s="94">
        <f t="shared" si="8"/>
        <v>4153.449004917951</v>
      </c>
      <c r="AQ16" s="97">
        <f t="shared" si="9"/>
        <v>814.2490049179505</v>
      </c>
      <c r="AR16" s="12">
        <v>5444</v>
      </c>
      <c r="AS16" s="103">
        <f t="shared" si="10"/>
        <v>-1290.5509950820488</v>
      </c>
      <c r="AT16">
        <f t="shared" si="11"/>
        <v>16573</v>
      </c>
    </row>
    <row r="17" spans="1:46" ht="48.75" customHeight="1">
      <c r="A17" s="46">
        <v>6</v>
      </c>
      <c r="B17" s="45" t="s">
        <v>46</v>
      </c>
      <c r="C17" s="54">
        <f t="shared" si="1"/>
        <v>4806</v>
      </c>
      <c r="D17" s="54">
        <f t="shared" si="2"/>
        <v>4637</v>
      </c>
      <c r="E17" s="67">
        <v>3400</v>
      </c>
      <c r="F17" s="67">
        <v>27</v>
      </c>
      <c r="G17" s="67">
        <v>310</v>
      </c>
      <c r="H17" s="67">
        <v>880</v>
      </c>
      <c r="I17" s="67">
        <v>20</v>
      </c>
      <c r="J17" s="67">
        <v>0</v>
      </c>
      <c r="K17" s="54">
        <f t="shared" si="12"/>
        <v>169</v>
      </c>
      <c r="L17" s="67">
        <v>0</v>
      </c>
      <c r="M17" s="67">
        <v>0</v>
      </c>
      <c r="N17" s="67">
        <v>0</v>
      </c>
      <c r="O17" s="67">
        <v>100</v>
      </c>
      <c r="P17" s="67">
        <v>0</v>
      </c>
      <c r="Q17" s="67">
        <v>19</v>
      </c>
      <c r="R17" s="67">
        <v>50</v>
      </c>
      <c r="S17" s="67">
        <f t="shared" si="0"/>
        <v>3551.8999999999996</v>
      </c>
      <c r="T17" s="67">
        <v>0</v>
      </c>
      <c r="U17" s="67">
        <v>0</v>
      </c>
      <c r="V17" s="68">
        <f>3033.6+518.3</f>
        <v>3551.8999999999996</v>
      </c>
      <c r="W17" s="79">
        <f t="shared" si="3"/>
        <v>8357.9</v>
      </c>
      <c r="X17" s="128">
        <f>2634-380</f>
        <v>2254</v>
      </c>
      <c r="Y17" s="134">
        <f t="shared" si="4"/>
        <v>11133</v>
      </c>
      <c r="Z17" s="134">
        <v>881.9</v>
      </c>
      <c r="AA17" s="134">
        <v>289.7</v>
      </c>
      <c r="AB17" s="71">
        <v>4025</v>
      </c>
      <c r="AC17" s="89">
        <v>5838</v>
      </c>
      <c r="AD17" s="83"/>
      <c r="AE17" s="79">
        <v>584</v>
      </c>
      <c r="AF17" s="79">
        <v>0</v>
      </c>
      <c r="AG17" s="71"/>
      <c r="AH17" s="54">
        <v>380</v>
      </c>
      <c r="AI17" s="54">
        <f>16041-AB17-AC17-AE17</f>
        <v>5594</v>
      </c>
      <c r="AJ17" s="106">
        <v>0.4</v>
      </c>
      <c r="AK17" s="107">
        <f t="shared" si="5"/>
        <v>2237.6</v>
      </c>
      <c r="AL17" s="54">
        <f t="shared" si="6"/>
        <v>-521.1000000000004</v>
      </c>
      <c r="AM17" s="55">
        <f t="shared" si="7"/>
        <v>-521.1000000000004</v>
      </c>
      <c r="AN17" s="56">
        <f>AM17/X26*U28</f>
        <v>574.8218964011575</v>
      </c>
      <c r="AO17" s="12">
        <v>518.3</v>
      </c>
      <c r="AP17" s="94">
        <f t="shared" si="8"/>
        <v>1093.1218964011573</v>
      </c>
      <c r="AQ17" s="97">
        <f t="shared" si="9"/>
        <v>572.0218964011569</v>
      </c>
      <c r="AR17" s="12">
        <v>3087</v>
      </c>
      <c r="AS17" s="103">
        <f t="shared" si="10"/>
        <v>-1993.8781035988427</v>
      </c>
      <c r="AT17">
        <f t="shared" si="11"/>
        <v>16041</v>
      </c>
    </row>
    <row r="18" spans="1:46" ht="48.75" customHeight="1">
      <c r="A18" s="46">
        <v>7</v>
      </c>
      <c r="B18" s="45" t="s">
        <v>47</v>
      </c>
      <c r="C18" s="54">
        <f t="shared" si="1"/>
        <v>358.5</v>
      </c>
      <c r="D18" s="54">
        <f t="shared" si="2"/>
        <v>355.5</v>
      </c>
      <c r="E18" s="67">
        <v>218</v>
      </c>
      <c r="F18" s="67">
        <v>0</v>
      </c>
      <c r="G18" s="67">
        <v>34.5</v>
      </c>
      <c r="H18" s="67">
        <v>88</v>
      </c>
      <c r="I18" s="67">
        <v>15</v>
      </c>
      <c r="J18" s="67">
        <v>0</v>
      </c>
      <c r="K18" s="54">
        <f t="shared" si="12"/>
        <v>3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3</v>
      </c>
      <c r="R18" s="67">
        <v>0</v>
      </c>
      <c r="S18" s="67">
        <f t="shared" si="0"/>
        <v>4462.5</v>
      </c>
      <c r="T18" s="67">
        <v>0</v>
      </c>
      <c r="U18" s="67">
        <v>535.5</v>
      </c>
      <c r="V18" s="68">
        <f>3588.2+338.8</f>
        <v>3927</v>
      </c>
      <c r="W18" s="79">
        <f t="shared" si="3"/>
        <v>4821</v>
      </c>
      <c r="X18" s="128">
        <f>2202-2198</f>
        <v>4</v>
      </c>
      <c r="Y18" s="134">
        <f t="shared" si="4"/>
        <v>4274</v>
      </c>
      <c r="Z18" s="134">
        <v>881.9</v>
      </c>
      <c r="AA18" s="134">
        <v>87.1</v>
      </c>
      <c r="AB18" s="71">
        <v>516</v>
      </c>
      <c r="AC18" s="89">
        <v>4568</v>
      </c>
      <c r="AD18" s="83"/>
      <c r="AE18" s="79">
        <v>207</v>
      </c>
      <c r="AF18" s="79">
        <v>0</v>
      </c>
      <c r="AG18" s="71"/>
      <c r="AH18" s="54">
        <v>2198</v>
      </c>
      <c r="AI18" s="54">
        <f>10666-AB18-AC18-AE18</f>
        <v>5375</v>
      </c>
      <c r="AJ18" s="106">
        <v>0.4</v>
      </c>
      <c r="AK18" s="107">
        <f t="shared" si="5"/>
        <v>2150</v>
      </c>
      <c r="AL18" s="54">
        <f t="shared" si="6"/>
        <v>551</v>
      </c>
      <c r="AM18" s="55" t="b">
        <f t="shared" si="7"/>
        <v>0</v>
      </c>
      <c r="AN18" s="56">
        <f>AM18/X26*U28</f>
        <v>0</v>
      </c>
      <c r="AO18" s="12">
        <v>338.8</v>
      </c>
      <c r="AP18" s="94">
        <f t="shared" si="8"/>
        <v>338.8</v>
      </c>
      <c r="AQ18" s="97">
        <f t="shared" si="9"/>
        <v>338.8</v>
      </c>
      <c r="AR18" s="12">
        <v>2140</v>
      </c>
      <c r="AS18" s="103">
        <f t="shared" si="10"/>
        <v>-1801.2</v>
      </c>
      <c r="AT18">
        <f t="shared" si="11"/>
        <v>10666</v>
      </c>
    </row>
    <row r="19" spans="1:46" ht="48.75" customHeight="1">
      <c r="A19" s="13">
        <v>8</v>
      </c>
      <c r="B19" s="45" t="s">
        <v>48</v>
      </c>
      <c r="C19" s="54">
        <f t="shared" si="1"/>
        <v>72375.1</v>
      </c>
      <c r="D19" s="54">
        <f t="shared" si="2"/>
        <v>69896.5</v>
      </c>
      <c r="E19" s="67">
        <v>32595</v>
      </c>
      <c r="F19" s="67">
        <v>33794.5</v>
      </c>
      <c r="G19" s="67">
        <v>900</v>
      </c>
      <c r="H19" s="67">
        <v>2557</v>
      </c>
      <c r="I19" s="67">
        <v>50</v>
      </c>
      <c r="J19" s="67">
        <v>0</v>
      </c>
      <c r="K19" s="54">
        <f t="shared" si="12"/>
        <v>2478.6</v>
      </c>
      <c r="L19" s="67">
        <v>322</v>
      </c>
      <c r="M19" s="67">
        <v>730</v>
      </c>
      <c r="N19" s="67">
        <v>0</v>
      </c>
      <c r="O19" s="67">
        <v>7.1</v>
      </c>
      <c r="P19" s="67">
        <v>1350</v>
      </c>
      <c r="Q19" s="67">
        <v>0</v>
      </c>
      <c r="R19" s="67">
        <v>69.5</v>
      </c>
      <c r="S19" s="67">
        <f>T19+U19+V19</f>
        <v>0</v>
      </c>
      <c r="T19" s="67">
        <v>0</v>
      </c>
      <c r="U19" s="67">
        <v>0</v>
      </c>
      <c r="V19" s="68">
        <v>0</v>
      </c>
      <c r="W19" s="79">
        <f t="shared" si="3"/>
        <v>72375.1</v>
      </c>
      <c r="X19" s="128">
        <v>1913</v>
      </c>
      <c r="Y19" s="134">
        <f t="shared" si="4"/>
        <v>52544.1</v>
      </c>
      <c r="Z19" s="134">
        <v>1881.1</v>
      </c>
      <c r="AA19" s="134">
        <v>812.8</v>
      </c>
      <c r="AB19" s="71">
        <v>10055</v>
      </c>
      <c r="AC19" s="89">
        <v>26756</v>
      </c>
      <c r="AD19" s="83"/>
      <c r="AE19" s="79">
        <v>1399</v>
      </c>
      <c r="AF19" s="79">
        <v>0</v>
      </c>
      <c r="AG19" s="71"/>
      <c r="AH19" s="54">
        <v>0</v>
      </c>
      <c r="AI19" s="54">
        <f>80780-AB19-AC19-AE19</f>
        <v>42570</v>
      </c>
      <c r="AJ19" s="106">
        <v>0.4</v>
      </c>
      <c r="AK19" s="107">
        <f t="shared" si="5"/>
        <v>17028</v>
      </c>
      <c r="AL19" s="54">
        <f t="shared" si="6"/>
        <v>21744.000000000007</v>
      </c>
      <c r="AM19" s="55" t="b">
        <f t="shared" si="7"/>
        <v>0</v>
      </c>
      <c r="AN19" s="56">
        <f>AM19/X26*U28</f>
        <v>0</v>
      </c>
      <c r="AO19" s="12">
        <v>0</v>
      </c>
      <c r="AP19" s="94">
        <f t="shared" si="8"/>
        <v>0</v>
      </c>
      <c r="AQ19" s="97">
        <f t="shared" si="9"/>
        <v>0</v>
      </c>
      <c r="AR19" s="100">
        <v>4</v>
      </c>
      <c r="AS19" s="104">
        <f t="shared" si="10"/>
        <v>-4</v>
      </c>
      <c r="AT19">
        <f t="shared" si="11"/>
        <v>80780</v>
      </c>
    </row>
    <row r="20" spans="1:46" ht="48.75" customHeight="1">
      <c r="A20" s="13">
        <v>9</v>
      </c>
      <c r="B20" s="45" t="s">
        <v>49</v>
      </c>
      <c r="C20" s="54">
        <f t="shared" si="1"/>
        <v>11035.300000000001</v>
      </c>
      <c r="D20" s="54">
        <f t="shared" si="2"/>
        <v>10533.1</v>
      </c>
      <c r="E20" s="67">
        <v>8071.2</v>
      </c>
      <c r="F20" s="67">
        <v>0</v>
      </c>
      <c r="G20" s="67">
        <v>509.5</v>
      </c>
      <c r="H20" s="67">
        <v>1878.4</v>
      </c>
      <c r="I20" s="67">
        <v>74</v>
      </c>
      <c r="J20" s="67">
        <v>0</v>
      </c>
      <c r="K20" s="54">
        <f t="shared" si="12"/>
        <v>502.2</v>
      </c>
      <c r="L20" s="67">
        <v>177.2</v>
      </c>
      <c r="M20" s="67">
        <v>0</v>
      </c>
      <c r="N20" s="67">
        <v>0</v>
      </c>
      <c r="O20" s="67">
        <v>40</v>
      </c>
      <c r="P20" s="67">
        <v>30</v>
      </c>
      <c r="Q20" s="67">
        <v>15</v>
      </c>
      <c r="R20" s="67">
        <v>240</v>
      </c>
      <c r="S20" s="67">
        <f>T20+U20+V20</f>
        <v>13062.4</v>
      </c>
      <c r="T20" s="67">
        <v>0</v>
      </c>
      <c r="U20" s="67">
        <v>4848.9</v>
      </c>
      <c r="V20" s="68">
        <f>6588.8+1624.7</f>
        <v>8213.5</v>
      </c>
      <c r="W20" s="79">
        <f t="shared" si="3"/>
        <v>24097.7</v>
      </c>
      <c r="X20" s="128">
        <f>2839-652</f>
        <v>2187</v>
      </c>
      <c r="Y20" s="134">
        <f t="shared" si="4"/>
        <v>22278.5</v>
      </c>
      <c r="Z20" s="134">
        <v>2175.3</v>
      </c>
      <c r="AA20" s="134">
        <v>497.2</v>
      </c>
      <c r="AB20" s="71">
        <v>3192</v>
      </c>
      <c r="AC20" s="89">
        <v>12805</v>
      </c>
      <c r="AD20" s="83"/>
      <c r="AE20" s="79">
        <v>952</v>
      </c>
      <c r="AF20" s="79">
        <v>0</v>
      </c>
      <c r="AG20" s="71"/>
      <c r="AH20" s="54">
        <v>652</v>
      </c>
      <c r="AI20" s="54">
        <f>38584-AB20-AC20-AE20</f>
        <v>21635</v>
      </c>
      <c r="AJ20" s="106">
        <v>0.4</v>
      </c>
      <c r="AK20" s="107">
        <f t="shared" si="5"/>
        <v>8654</v>
      </c>
      <c r="AL20" s="54">
        <f t="shared" si="6"/>
        <v>4006.2000000000007</v>
      </c>
      <c r="AM20" s="55" t="b">
        <f>IF(AL20&lt;0,AL20)</f>
        <v>0</v>
      </c>
      <c r="AN20" s="56">
        <f>AM20/X26*U28</f>
        <v>0</v>
      </c>
      <c r="AO20" s="12">
        <v>1624.7</v>
      </c>
      <c r="AP20" s="94">
        <f t="shared" si="8"/>
        <v>1624.7</v>
      </c>
      <c r="AQ20" s="97">
        <f t="shared" si="9"/>
        <v>1624.7</v>
      </c>
      <c r="AR20" s="101">
        <v>1465</v>
      </c>
      <c r="AS20" s="104">
        <f t="shared" si="10"/>
        <v>159.70000000000005</v>
      </c>
      <c r="AT20">
        <f t="shared" si="11"/>
        <v>38584</v>
      </c>
    </row>
    <row r="21" spans="1:46" ht="48.75" customHeight="1">
      <c r="A21" s="13">
        <v>10</v>
      </c>
      <c r="B21" s="45" t="s">
        <v>50</v>
      </c>
      <c r="C21" s="54">
        <f t="shared" si="1"/>
        <v>22581.5</v>
      </c>
      <c r="D21" s="54">
        <f t="shared" si="2"/>
        <v>22561.5</v>
      </c>
      <c r="E21" s="67">
        <v>22500</v>
      </c>
      <c r="F21" s="67">
        <v>0</v>
      </c>
      <c r="G21" s="67">
        <v>5.5</v>
      </c>
      <c r="H21" s="67">
        <v>16</v>
      </c>
      <c r="I21" s="67">
        <v>40</v>
      </c>
      <c r="J21" s="67">
        <v>0</v>
      </c>
      <c r="K21" s="54">
        <f t="shared" si="12"/>
        <v>20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20</v>
      </c>
      <c r="R21" s="67">
        <v>0</v>
      </c>
      <c r="S21" s="67">
        <f>T21+U21+V21</f>
        <v>0</v>
      </c>
      <c r="T21" s="67">
        <v>0</v>
      </c>
      <c r="U21" s="67">
        <v>0</v>
      </c>
      <c r="V21" s="68">
        <v>0</v>
      </c>
      <c r="W21" s="79">
        <f t="shared" si="3"/>
        <v>22581.5</v>
      </c>
      <c r="X21" s="128">
        <v>5067</v>
      </c>
      <c r="Y21" s="134">
        <f t="shared" si="4"/>
        <v>14883.160000000002</v>
      </c>
      <c r="Z21" s="134">
        <v>587.84</v>
      </c>
      <c r="AA21" s="134">
        <v>315.4</v>
      </c>
      <c r="AB21" s="71">
        <v>0</v>
      </c>
      <c r="AC21" s="89">
        <v>9952</v>
      </c>
      <c r="AD21" s="83"/>
      <c r="AE21" s="79">
        <v>548</v>
      </c>
      <c r="AF21" s="79">
        <v>0</v>
      </c>
      <c r="AG21" s="71"/>
      <c r="AH21" s="54">
        <v>0</v>
      </c>
      <c r="AI21" s="54">
        <f>23716-AB21-AC21-AE21</f>
        <v>13216</v>
      </c>
      <c r="AJ21" s="106">
        <v>0.4</v>
      </c>
      <c r="AK21" s="107">
        <f t="shared" si="5"/>
        <v>5286.400000000001</v>
      </c>
      <c r="AL21" s="54">
        <f t="shared" si="6"/>
        <v>12765.339999999998</v>
      </c>
      <c r="AM21" s="55" t="b">
        <f t="shared" si="7"/>
        <v>0</v>
      </c>
      <c r="AN21" s="56">
        <f>AM21/X26*U28</f>
        <v>0</v>
      </c>
      <c r="AO21" s="12">
        <v>0</v>
      </c>
      <c r="AP21" s="94">
        <f t="shared" si="8"/>
        <v>0</v>
      </c>
      <c r="AQ21" s="97">
        <f t="shared" si="9"/>
        <v>0</v>
      </c>
      <c r="AR21" s="12">
        <v>0</v>
      </c>
      <c r="AS21" s="94">
        <f t="shared" si="10"/>
        <v>0</v>
      </c>
      <c r="AT21">
        <f t="shared" si="11"/>
        <v>23716</v>
      </c>
    </row>
    <row r="22" spans="1:46" ht="48.75" customHeight="1">
      <c r="A22" s="46">
        <v>11</v>
      </c>
      <c r="B22" s="45" t="s">
        <v>51</v>
      </c>
      <c r="C22" s="54">
        <f t="shared" si="1"/>
        <v>9809</v>
      </c>
      <c r="D22" s="54">
        <f t="shared" si="2"/>
        <v>9168</v>
      </c>
      <c r="E22" s="67">
        <v>6906</v>
      </c>
      <c r="F22" s="67">
        <v>0</v>
      </c>
      <c r="G22" s="67">
        <v>410</v>
      </c>
      <c r="H22" s="67">
        <v>1812</v>
      </c>
      <c r="I22" s="67">
        <v>40</v>
      </c>
      <c r="J22" s="67">
        <v>0</v>
      </c>
      <c r="K22" s="54">
        <f t="shared" si="12"/>
        <v>641</v>
      </c>
      <c r="L22" s="67">
        <v>390</v>
      </c>
      <c r="M22" s="67">
        <v>21</v>
      </c>
      <c r="N22" s="67">
        <v>0</v>
      </c>
      <c r="O22" s="67">
        <v>50</v>
      </c>
      <c r="P22" s="67">
        <v>105</v>
      </c>
      <c r="Q22" s="67">
        <v>25</v>
      </c>
      <c r="R22" s="67">
        <v>50</v>
      </c>
      <c r="S22" s="67">
        <f>T22+U22+V22</f>
        <v>12388.5</v>
      </c>
      <c r="T22" s="67">
        <v>0</v>
      </c>
      <c r="U22" s="67">
        <v>4332.6</v>
      </c>
      <c r="V22" s="68">
        <f>6621.8+1434.1</f>
        <v>8055.9</v>
      </c>
      <c r="W22" s="79">
        <f t="shared" si="3"/>
        <v>22197.5</v>
      </c>
      <c r="X22" s="128">
        <f>842-376</f>
        <v>466</v>
      </c>
      <c r="Y22" s="134">
        <f t="shared" si="4"/>
        <v>23576.200000000004</v>
      </c>
      <c r="Z22" s="134">
        <v>1940.1</v>
      </c>
      <c r="AA22" s="134">
        <v>499.1</v>
      </c>
      <c r="AB22" s="71">
        <v>8411</v>
      </c>
      <c r="AC22" s="89">
        <v>11485</v>
      </c>
      <c r="AD22" s="83"/>
      <c r="AE22" s="79">
        <v>419</v>
      </c>
      <c r="AF22" s="79">
        <v>0</v>
      </c>
      <c r="AG22" s="71"/>
      <c r="AH22" s="54">
        <v>376</v>
      </c>
      <c r="AI22" s="54">
        <f>35506-AB22-AC22-AE22</f>
        <v>15191</v>
      </c>
      <c r="AJ22" s="106">
        <v>0.4</v>
      </c>
      <c r="AK22" s="107">
        <f t="shared" si="5"/>
        <v>6076.400000000001</v>
      </c>
      <c r="AL22" s="54">
        <f t="shared" si="6"/>
        <v>-912.7000000000044</v>
      </c>
      <c r="AM22" s="55">
        <f t="shared" si="7"/>
        <v>-912.7000000000044</v>
      </c>
      <c r="AN22" s="56">
        <f>AM22/X26*U28</f>
        <v>1006.79321597647</v>
      </c>
      <c r="AO22" s="12">
        <v>1434.1</v>
      </c>
      <c r="AP22" s="94">
        <f t="shared" si="8"/>
        <v>2440.89321597647</v>
      </c>
      <c r="AQ22" s="97">
        <f t="shared" si="9"/>
        <v>1528.1932159764656</v>
      </c>
      <c r="AR22" s="12">
        <v>4949</v>
      </c>
      <c r="AS22" s="103">
        <f t="shared" si="10"/>
        <v>-2508.10678402353</v>
      </c>
      <c r="AT22">
        <f t="shared" si="11"/>
        <v>35506</v>
      </c>
    </row>
    <row r="23" spans="1:46" ht="48.75" customHeight="1" thickBot="1">
      <c r="A23" s="13">
        <v>12</v>
      </c>
      <c r="B23" s="45" t="s">
        <v>52</v>
      </c>
      <c r="C23" s="54">
        <f t="shared" si="1"/>
        <v>3364</v>
      </c>
      <c r="D23" s="54">
        <f t="shared" si="2"/>
        <v>3149</v>
      </c>
      <c r="E23" s="67">
        <v>1313</v>
      </c>
      <c r="F23" s="67">
        <v>10</v>
      </c>
      <c r="G23" s="67">
        <v>300</v>
      </c>
      <c r="H23" s="67">
        <v>1500</v>
      </c>
      <c r="I23" s="67">
        <v>25</v>
      </c>
      <c r="J23" s="67">
        <v>1</v>
      </c>
      <c r="K23" s="54">
        <f t="shared" si="12"/>
        <v>215</v>
      </c>
      <c r="L23" s="67">
        <v>85</v>
      </c>
      <c r="M23" s="67">
        <v>0</v>
      </c>
      <c r="N23" s="67">
        <v>0</v>
      </c>
      <c r="O23" s="67">
        <v>0</v>
      </c>
      <c r="P23" s="67">
        <v>100</v>
      </c>
      <c r="Q23" s="67">
        <v>30</v>
      </c>
      <c r="R23" s="67">
        <v>0</v>
      </c>
      <c r="S23" s="67">
        <f>T23+U23+V23</f>
        <v>15053.2</v>
      </c>
      <c r="T23" s="67">
        <v>0</v>
      </c>
      <c r="U23" s="67">
        <v>9008.4</v>
      </c>
      <c r="V23" s="92">
        <f>4759.1+1285.7</f>
        <v>6044.8</v>
      </c>
      <c r="W23" s="79">
        <f t="shared" si="3"/>
        <v>18417.2</v>
      </c>
      <c r="X23" s="128">
        <f>1035-967</f>
        <v>68</v>
      </c>
      <c r="Y23" s="134">
        <f t="shared" si="4"/>
        <v>14932.999999999998</v>
      </c>
      <c r="Z23" s="134">
        <v>1646.2</v>
      </c>
      <c r="AA23" s="134">
        <v>341.4</v>
      </c>
      <c r="AB23" s="71">
        <v>5057</v>
      </c>
      <c r="AC23" s="89">
        <v>8224</v>
      </c>
      <c r="AD23" s="83"/>
      <c r="AE23" s="79">
        <v>853</v>
      </c>
      <c r="AF23" s="79">
        <v>0</v>
      </c>
      <c r="AG23" s="71"/>
      <c r="AH23" s="54">
        <v>967</v>
      </c>
      <c r="AI23" s="54">
        <f>23518-AB23-AC23-AE23</f>
        <v>9384</v>
      </c>
      <c r="AJ23" s="106">
        <v>0.4</v>
      </c>
      <c r="AK23" s="107">
        <f t="shared" si="5"/>
        <v>3753.6000000000004</v>
      </c>
      <c r="AL23" s="54">
        <f t="shared" si="6"/>
        <v>3552.2000000000025</v>
      </c>
      <c r="AM23" s="55" t="b">
        <f t="shared" si="7"/>
        <v>0</v>
      </c>
      <c r="AN23" s="56">
        <f>AM23/X26*U28</f>
        <v>0</v>
      </c>
      <c r="AO23" s="12">
        <v>1285.7</v>
      </c>
      <c r="AP23" s="94">
        <f t="shared" si="8"/>
        <v>1285.7</v>
      </c>
      <c r="AQ23" s="97">
        <f t="shared" si="9"/>
        <v>1285.7</v>
      </c>
      <c r="AR23" s="102">
        <v>1050</v>
      </c>
      <c r="AS23" s="104">
        <f t="shared" si="10"/>
        <v>235.70000000000005</v>
      </c>
      <c r="AT23">
        <f t="shared" si="11"/>
        <v>23518</v>
      </c>
    </row>
    <row r="24" spans="1:46" ht="16.5" customHeight="1" thickBot="1">
      <c r="A24" s="13"/>
      <c r="B24" s="13"/>
      <c r="C24" s="54">
        <f aca="true" t="shared" si="13" ref="C24:T24">SUM(C11:C23)</f>
        <v>139934.68</v>
      </c>
      <c r="D24" s="54">
        <f t="shared" si="13"/>
        <v>135200.68</v>
      </c>
      <c r="E24" s="54">
        <f t="shared" si="13"/>
        <v>80288.78</v>
      </c>
      <c r="F24" s="54">
        <f t="shared" si="13"/>
        <v>35064</v>
      </c>
      <c r="G24" s="54">
        <f t="shared" si="13"/>
        <v>3301</v>
      </c>
      <c r="H24" s="54">
        <f t="shared" si="13"/>
        <v>16166.9</v>
      </c>
      <c r="I24" s="54">
        <f t="shared" si="13"/>
        <v>379</v>
      </c>
      <c r="J24" s="54">
        <f t="shared" si="13"/>
        <v>1</v>
      </c>
      <c r="K24" s="54">
        <f t="shared" si="13"/>
        <v>4734</v>
      </c>
      <c r="L24" s="54">
        <f t="shared" si="13"/>
        <v>994.2</v>
      </c>
      <c r="M24" s="54">
        <f t="shared" si="13"/>
        <v>1208.4</v>
      </c>
      <c r="N24" s="54">
        <f t="shared" si="13"/>
        <v>0</v>
      </c>
      <c r="O24" s="54"/>
      <c r="P24" s="54">
        <f t="shared" si="13"/>
        <v>1585</v>
      </c>
      <c r="Q24" s="54">
        <f t="shared" si="13"/>
        <v>169</v>
      </c>
      <c r="R24" s="54">
        <f t="shared" si="13"/>
        <v>534.5</v>
      </c>
      <c r="S24" s="54">
        <f t="shared" si="13"/>
        <v>77810</v>
      </c>
      <c r="T24" s="54">
        <f t="shared" si="13"/>
        <v>0</v>
      </c>
      <c r="U24" s="70">
        <f aca="true" t="shared" si="14" ref="U24:AS24">SUM(U11:U23)</f>
        <v>19362.6</v>
      </c>
      <c r="V24" s="93">
        <f t="shared" si="14"/>
        <v>58447.40000000001</v>
      </c>
      <c r="W24" s="80">
        <f t="shared" si="14"/>
        <v>217744.68000000002</v>
      </c>
      <c r="X24" s="130">
        <f t="shared" si="14"/>
        <v>15470</v>
      </c>
      <c r="Y24" s="134">
        <f t="shared" si="4"/>
        <v>199101.56</v>
      </c>
      <c r="Z24" s="135">
        <f t="shared" si="14"/>
        <v>19518.54</v>
      </c>
      <c r="AA24" s="135">
        <f t="shared" si="14"/>
        <v>3960.2999999999997</v>
      </c>
      <c r="AB24" s="133">
        <f t="shared" si="14"/>
        <v>50401</v>
      </c>
      <c r="AC24" s="91">
        <f t="shared" si="14"/>
        <v>109881</v>
      </c>
      <c r="AD24" s="83">
        <f t="shared" si="14"/>
        <v>0</v>
      </c>
      <c r="AE24" s="76">
        <f t="shared" si="14"/>
        <v>9849</v>
      </c>
      <c r="AF24" s="76">
        <f t="shared" si="14"/>
        <v>683</v>
      </c>
      <c r="AG24" s="71">
        <f t="shared" si="14"/>
        <v>0</v>
      </c>
      <c r="AH24" s="54">
        <f t="shared" si="14"/>
        <v>7146</v>
      </c>
      <c r="AI24" s="54">
        <f t="shared" si="14"/>
        <v>147281</v>
      </c>
      <c r="AJ24" s="106">
        <v>0.4</v>
      </c>
      <c r="AK24" s="107">
        <f t="shared" si="5"/>
        <v>58912.4</v>
      </c>
      <c r="AL24" s="54">
        <f t="shared" si="14"/>
        <v>34113.12</v>
      </c>
      <c r="AM24" s="55">
        <f t="shared" si="14"/>
        <v>-13054.200000000004</v>
      </c>
      <c r="AN24" s="95">
        <f t="shared" si="14"/>
        <v>14399.999999999976</v>
      </c>
      <c r="AO24" s="96">
        <f t="shared" si="14"/>
        <v>8392.5</v>
      </c>
      <c r="AP24" s="97">
        <f t="shared" si="14"/>
        <v>22792.499999999975</v>
      </c>
      <c r="AQ24" s="97">
        <f t="shared" si="14"/>
        <v>9738.299999999972</v>
      </c>
      <c r="AR24" s="97">
        <f t="shared" si="14"/>
        <v>33225</v>
      </c>
      <c r="AS24" s="97">
        <f t="shared" si="14"/>
        <v>-10432.500000000025</v>
      </c>
      <c r="AT24">
        <f t="shared" si="11"/>
        <v>318095</v>
      </c>
    </row>
    <row r="25" spans="1:40" ht="16.5" customHeight="1">
      <c r="A25" s="47"/>
      <c r="B25" s="4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09"/>
      <c r="U25" s="109" t="s">
        <v>67</v>
      </c>
      <c r="V25" s="109"/>
      <c r="W25" s="110">
        <f>SUM(W11:W23)-W23-W21-W20-W19-W11-W12-W18</f>
        <v>53054.7</v>
      </c>
      <c r="X25" s="110">
        <f>SUM(X11:X23)-X23-X21-X20-X19-X11-X12-X18</f>
        <v>3439</v>
      </c>
      <c r="Y25" s="110">
        <f>SUM(Y11:Y23)-Y23-Y21-Y20-Y19-Y11-Y12-Y18</f>
        <v>69547.90000000002</v>
      </c>
      <c r="Z25" s="108"/>
      <c r="AA25" s="108"/>
      <c r="AB25" s="109"/>
      <c r="AC25" s="109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7">
        <f>SUM(AN11:AN23)</f>
        <v>14399.999999999976</v>
      </c>
    </row>
    <row r="26" spans="1:40" ht="16.5" customHeight="1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09"/>
      <c r="U26" s="109" t="s">
        <v>68</v>
      </c>
      <c r="V26" s="109"/>
      <c r="W26" s="111"/>
      <c r="X26" s="112">
        <f>W25-Y25+X25</f>
        <v>-13054.200000000026</v>
      </c>
      <c r="Y26" s="111"/>
      <c r="Z26" s="111"/>
      <c r="AA26" s="111"/>
      <c r="AB26" s="109"/>
      <c r="AC26" s="109"/>
      <c r="AD26" s="58"/>
      <c r="AE26" s="58"/>
      <c r="AF26" s="58" t="s">
        <v>79</v>
      </c>
      <c r="AG26" s="58"/>
      <c r="AH26" s="58"/>
      <c r="AI26" s="58"/>
      <c r="AJ26" s="58"/>
      <c r="AK26" s="58"/>
      <c r="AL26" s="58"/>
      <c r="AM26" s="58"/>
      <c r="AN26" s="57"/>
    </row>
    <row r="27" spans="3:40" ht="1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113"/>
      <c r="U27" s="113" t="s">
        <v>112</v>
      </c>
      <c r="V27" s="113">
        <v>8392.5</v>
      </c>
      <c r="W27" s="113"/>
      <c r="X27" s="113"/>
      <c r="Y27" s="113"/>
      <c r="Z27" s="113"/>
      <c r="AA27" s="113"/>
      <c r="AB27" s="113"/>
      <c r="AC27" s="113"/>
      <c r="AD27" s="60"/>
      <c r="AE27" s="60"/>
      <c r="AF27" s="58"/>
      <c r="AG27" s="57"/>
      <c r="AH27" s="57"/>
      <c r="AI27" s="57"/>
      <c r="AJ27" s="57"/>
      <c r="AK27" s="57"/>
      <c r="AL27" s="57"/>
      <c r="AM27" s="57"/>
      <c r="AN27" s="57"/>
    </row>
    <row r="28" spans="3:40" ht="1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 t="s">
        <v>70</v>
      </c>
      <c r="T28" s="114"/>
      <c r="U28" s="115">
        <v>14400</v>
      </c>
      <c r="V28" s="114"/>
      <c r="W28" s="114"/>
      <c r="X28" s="114"/>
      <c r="Y28" s="114"/>
      <c r="Z28" s="114"/>
      <c r="AA28" s="114"/>
      <c r="AB28" s="114"/>
      <c r="AC28" s="114"/>
      <c r="AD28" s="59"/>
      <c r="AE28" s="59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20:40" ht="15" hidden="1">
      <c r="T29" s="116"/>
      <c r="U29" s="117"/>
      <c r="V29" s="116"/>
      <c r="W29" s="116"/>
      <c r="X29" s="116"/>
      <c r="Y29" s="116"/>
      <c r="Z29" s="116"/>
      <c r="AA29" s="116"/>
      <c r="AB29" s="116"/>
      <c r="AC29" s="116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20:40" ht="15"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F30" s="47"/>
      <c r="AG30" s="47"/>
      <c r="AH30" s="47"/>
      <c r="AI30" s="47"/>
      <c r="AJ30" s="47"/>
      <c r="AK30" s="47"/>
      <c r="AL30" s="47"/>
      <c r="AM30" s="47"/>
      <c r="AN30" s="47"/>
    </row>
  </sheetData>
  <sheetProtection/>
  <mergeCells count="2">
    <mergeCell ref="AG9:AG10"/>
    <mergeCell ref="AN9:AN10"/>
  </mergeCells>
  <printOptions/>
  <pageMargins left="0.31496062992125984" right="0.1968503937007874" top="0.15748031496062992" bottom="0.15748031496062992" header="0.31496062992125984" footer="0.31496062992125984"/>
  <pageSetup fitToHeight="1" fitToWidth="1" horizontalDpi="180" verticalDpi="18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9"/>
  <sheetViews>
    <sheetView zoomScalePageLayoutView="0" workbookViewId="0" topLeftCell="A1">
      <selection activeCell="I6" sqref="I6:I18"/>
    </sheetView>
  </sheetViews>
  <sheetFormatPr defaultColWidth="9.140625" defaultRowHeight="15"/>
  <cols>
    <col min="2" max="2" width="26.57421875" style="0" customWidth="1"/>
    <col min="11" max="11" width="14.8515625" style="0" customWidth="1"/>
    <col min="12" max="12" width="17.00390625" style="0" customWidth="1"/>
  </cols>
  <sheetData>
    <row r="4" spans="1:12" ht="15">
      <c r="A4" s="118" t="str">
        <f>'Расчет -30%'!A9</f>
        <v>№</v>
      </c>
      <c r="B4" s="118" t="str">
        <f>'Расчет -30%'!B9</f>
        <v>Наименование</v>
      </c>
      <c r="C4" s="121">
        <v>2017</v>
      </c>
      <c r="D4" s="121">
        <v>2017</v>
      </c>
      <c r="E4" s="121">
        <v>2017</v>
      </c>
      <c r="F4" s="102">
        <v>2017</v>
      </c>
      <c r="G4" s="121">
        <v>2018</v>
      </c>
      <c r="H4" s="121">
        <v>2018</v>
      </c>
      <c r="I4" s="121">
        <v>2018</v>
      </c>
      <c r="J4" s="102">
        <v>2018</v>
      </c>
      <c r="K4" s="102" t="s">
        <v>126</v>
      </c>
      <c r="L4" s="12" t="s">
        <v>128</v>
      </c>
    </row>
    <row r="5" spans="1:12" ht="15">
      <c r="A5" s="118">
        <f>'Расчет -30%'!A10</f>
        <v>0</v>
      </c>
      <c r="B5" s="118">
        <f>'Расчет -30%'!B10</f>
        <v>0</v>
      </c>
      <c r="C5" s="121" t="s">
        <v>123</v>
      </c>
      <c r="D5" s="121" t="s">
        <v>124</v>
      </c>
      <c r="E5" s="121" t="s">
        <v>125</v>
      </c>
      <c r="F5" s="102" t="s">
        <v>114</v>
      </c>
      <c r="G5" s="121" t="s">
        <v>123</v>
      </c>
      <c r="H5" s="121" t="s">
        <v>124</v>
      </c>
      <c r="I5" s="121" t="s">
        <v>125</v>
      </c>
      <c r="J5" s="102" t="s">
        <v>114</v>
      </c>
      <c r="K5" s="102" t="s">
        <v>127</v>
      </c>
      <c r="L5" s="119" t="s">
        <v>129</v>
      </c>
    </row>
    <row r="6" spans="1:12" ht="15">
      <c r="A6" s="118">
        <f>'Расчет -30%'!A11</f>
        <v>1</v>
      </c>
      <c r="B6" s="118" t="str">
        <f>'Расчет -30%'!B11</f>
        <v>Большееланское сел.пос. </v>
      </c>
      <c r="C6" s="122">
        <v>0</v>
      </c>
      <c r="D6" s="122">
        <v>4126.2</v>
      </c>
      <c r="E6" s="122">
        <v>3150.2</v>
      </c>
      <c r="F6" s="100">
        <f>C6+D6+E6</f>
        <v>7276.4</v>
      </c>
      <c r="G6" s="122"/>
      <c r="H6" s="122">
        <v>8239.5</v>
      </c>
      <c r="I6" s="123">
        <f>'Расчет -40% (3)'!AN11</f>
        <v>0</v>
      </c>
      <c r="J6" s="103">
        <f>G6+H6+I6</f>
        <v>8239.5</v>
      </c>
      <c r="K6" s="100">
        <f>'Расчет -30%'!X11</f>
        <v>1916</v>
      </c>
      <c r="L6" s="94">
        <f>J6+K6-F6</f>
        <v>2879.1000000000004</v>
      </c>
    </row>
    <row r="7" spans="1:12" ht="15">
      <c r="A7" s="118">
        <v>2</v>
      </c>
      <c r="B7" s="118" t="str">
        <f>'Расчет -30%'!B12</f>
        <v>Железнодорожное сел.пос. </v>
      </c>
      <c r="C7" s="122"/>
      <c r="D7" s="122">
        <v>4074.7</v>
      </c>
      <c r="E7" s="122">
        <v>0</v>
      </c>
      <c r="F7" s="100">
        <f aca="true" t="shared" si="0" ref="F7:F19">C7+D7+E7</f>
        <v>4074.7</v>
      </c>
      <c r="G7" s="122"/>
      <c r="H7" s="122">
        <v>2702.5</v>
      </c>
      <c r="I7" s="123">
        <f>'Расчет -40% (3)'!AN12</f>
        <v>0</v>
      </c>
      <c r="J7" s="103">
        <f aca="true" t="shared" si="1" ref="J7:J19">G7+H7+I7</f>
        <v>2702.5</v>
      </c>
      <c r="K7" s="100">
        <f>'Расчет -30%'!X12</f>
        <v>876</v>
      </c>
      <c r="L7" s="94">
        <f aca="true" t="shared" si="2" ref="L7:L18">J7+K7-F7</f>
        <v>-496.1999999999998</v>
      </c>
    </row>
    <row r="8" spans="1:12" ht="15">
      <c r="A8" s="118">
        <f>'Расчет -30%'!A13</f>
        <v>0</v>
      </c>
      <c r="B8" s="118" t="str">
        <f>'Расчет -30%'!B13</f>
        <v>Мальтинское сел.пос.</v>
      </c>
      <c r="C8" s="122">
        <v>0</v>
      </c>
      <c r="D8" s="122">
        <v>7222.8</v>
      </c>
      <c r="E8" s="122">
        <v>0</v>
      </c>
      <c r="F8" s="100">
        <f t="shared" si="0"/>
        <v>7222.8</v>
      </c>
      <c r="G8" s="122"/>
      <c r="H8" s="122">
        <v>0</v>
      </c>
      <c r="I8" s="123">
        <f>'Расчет -40% (3)'!AN13</f>
        <v>0</v>
      </c>
      <c r="J8" s="103">
        <f t="shared" si="1"/>
        <v>0</v>
      </c>
      <c r="K8" s="100">
        <f>'Расчет -30%'!X13</f>
        <v>0</v>
      </c>
      <c r="L8" s="94">
        <f t="shared" si="2"/>
        <v>-7222.8</v>
      </c>
    </row>
    <row r="9" spans="1:12" ht="15">
      <c r="A9" s="118">
        <f>'Расчет -30%'!A14</f>
        <v>3</v>
      </c>
      <c r="B9" s="118" t="str">
        <f>'Расчет -30%'!B14</f>
        <v>Новожилкинское сел.пос.</v>
      </c>
      <c r="C9" s="122">
        <v>251.5</v>
      </c>
      <c r="D9" s="122">
        <v>9851</v>
      </c>
      <c r="E9" s="122">
        <v>3482.7</v>
      </c>
      <c r="F9" s="100">
        <f t="shared" si="0"/>
        <v>13585.2</v>
      </c>
      <c r="G9" s="122">
        <v>148.4</v>
      </c>
      <c r="H9" s="122">
        <v>8307.3</v>
      </c>
      <c r="I9" s="123">
        <f>'Расчет -40% (3)'!AN14</f>
        <v>3090.315760444906</v>
      </c>
      <c r="J9" s="103">
        <f t="shared" si="1"/>
        <v>11546.015760444905</v>
      </c>
      <c r="K9" s="100">
        <f>'Расчет -30%'!X14</f>
        <v>628</v>
      </c>
      <c r="L9" s="94">
        <f t="shared" si="2"/>
        <v>-1411.1842395550957</v>
      </c>
    </row>
    <row r="10" spans="1:12" ht="15">
      <c r="A10" s="118">
        <f>'Расчет -30%'!A15</f>
        <v>4</v>
      </c>
      <c r="B10" s="118" t="str">
        <f>'Расчет -30%'!B15</f>
        <v>Новомальтинское сел.пос.</v>
      </c>
      <c r="C10" s="122">
        <v>0</v>
      </c>
      <c r="D10" s="122">
        <v>5909.8</v>
      </c>
      <c r="E10" s="122">
        <v>4845.5</v>
      </c>
      <c r="F10" s="100">
        <f t="shared" si="0"/>
        <v>10755.3</v>
      </c>
      <c r="G10" s="122"/>
      <c r="H10" s="122">
        <v>3864.4</v>
      </c>
      <c r="I10" s="123">
        <f>'Расчет -40% (3)'!AN15</f>
        <v>6044.620122259491</v>
      </c>
      <c r="J10" s="103">
        <f t="shared" si="1"/>
        <v>9909.020122259491</v>
      </c>
      <c r="K10" s="100">
        <f>'Расчет -30%'!X15</f>
        <v>52</v>
      </c>
      <c r="L10" s="94">
        <f t="shared" si="2"/>
        <v>-794.2798777405078</v>
      </c>
    </row>
    <row r="11" spans="1:12" ht="15">
      <c r="A11" s="118">
        <f>'Расчет -30%'!A16</f>
        <v>5</v>
      </c>
      <c r="B11" s="118" t="str">
        <f>'Расчет -30%'!B16</f>
        <v>Раздольинское сел.пос.</v>
      </c>
      <c r="C11" s="122">
        <v>243.9</v>
      </c>
      <c r="D11" s="122">
        <v>3983.4</v>
      </c>
      <c r="E11" s="122">
        <v>5732.3</v>
      </c>
      <c r="F11" s="100">
        <f t="shared" si="0"/>
        <v>9959.6</v>
      </c>
      <c r="G11" s="122">
        <v>488.8</v>
      </c>
      <c r="H11" s="122">
        <v>5540.6</v>
      </c>
      <c r="I11" s="123">
        <f>'Расчет -40% (3)'!AN16</f>
        <v>3683.4490049179512</v>
      </c>
      <c r="J11" s="103">
        <f t="shared" si="1"/>
        <v>9712.849004917953</v>
      </c>
      <c r="K11" s="100">
        <f>'Расчет -30%'!X16</f>
        <v>39</v>
      </c>
      <c r="L11" s="94">
        <f t="shared" si="2"/>
        <v>-207.75099508204767</v>
      </c>
    </row>
    <row r="12" spans="1:12" ht="15">
      <c r="A12" s="118">
        <f>'Расчет -30%'!A17</f>
        <v>6</v>
      </c>
      <c r="B12" s="118" t="str">
        <f>'Расчет -30%'!B17</f>
        <v>Сосновское сел.пос.</v>
      </c>
      <c r="C12" s="122">
        <v>0</v>
      </c>
      <c r="D12" s="122">
        <v>5322.6</v>
      </c>
      <c r="E12" s="122">
        <v>2910.7</v>
      </c>
      <c r="F12" s="100">
        <f t="shared" si="0"/>
        <v>8233.3</v>
      </c>
      <c r="G12" s="122"/>
      <c r="H12" s="122">
        <v>3551.9</v>
      </c>
      <c r="I12" s="123">
        <f>'Расчет -40% (3)'!AN17</f>
        <v>574.8218964011575</v>
      </c>
      <c r="J12" s="103">
        <f t="shared" si="1"/>
        <v>4126.721896401157</v>
      </c>
      <c r="K12" s="100">
        <f>'Расчет -30%'!X17</f>
        <v>2254</v>
      </c>
      <c r="L12" s="94">
        <f t="shared" si="2"/>
        <v>-1852.578103598842</v>
      </c>
    </row>
    <row r="13" spans="1:12" ht="15">
      <c r="A13" s="118">
        <f>'Расчет -30%'!A18</f>
        <v>7</v>
      </c>
      <c r="B13" s="118" t="str">
        <f>'Расчет -30%'!B18</f>
        <v>Тальянское сел.пос.</v>
      </c>
      <c r="C13" s="122">
        <v>257.9</v>
      </c>
      <c r="D13" s="122">
        <v>2374.8</v>
      </c>
      <c r="E13" s="122">
        <v>3128.6</v>
      </c>
      <c r="F13" s="100">
        <f t="shared" si="0"/>
        <v>5761.3</v>
      </c>
      <c r="G13" s="122">
        <v>535.5</v>
      </c>
      <c r="H13" s="122">
        <v>3927</v>
      </c>
      <c r="I13" s="123">
        <f>'Расчет -40% (3)'!AN18</f>
        <v>0</v>
      </c>
      <c r="J13" s="103">
        <f t="shared" si="1"/>
        <v>4462.5</v>
      </c>
      <c r="K13" s="100">
        <f>'Расчет -30%'!X18</f>
        <v>4</v>
      </c>
      <c r="L13" s="94">
        <f t="shared" si="2"/>
        <v>-1294.8000000000002</v>
      </c>
    </row>
    <row r="14" spans="1:12" ht="15">
      <c r="A14" s="118">
        <f>'Расчет -30%'!A19</f>
        <v>8</v>
      </c>
      <c r="B14" s="118" t="str">
        <f>'Расчет -30%'!B19</f>
        <v>Белореченское гор.пос. </v>
      </c>
      <c r="C14" s="122">
        <v>0</v>
      </c>
      <c r="D14" s="122">
        <v>0</v>
      </c>
      <c r="E14" s="122">
        <v>0</v>
      </c>
      <c r="F14" s="100">
        <f t="shared" si="0"/>
        <v>0</v>
      </c>
      <c r="G14" s="122"/>
      <c r="H14" s="122">
        <v>0</v>
      </c>
      <c r="I14" s="123">
        <f>'Расчет -40% (3)'!AN19</f>
        <v>0</v>
      </c>
      <c r="J14" s="103">
        <f t="shared" si="1"/>
        <v>0</v>
      </c>
      <c r="K14" s="100">
        <f>'Расчет -30%'!X19</f>
        <v>1913</v>
      </c>
      <c r="L14" s="94">
        <f t="shared" si="2"/>
        <v>1913</v>
      </c>
    </row>
    <row r="15" spans="1:12" ht="15">
      <c r="A15" s="118">
        <f>'Расчет -30%'!A20</f>
        <v>9</v>
      </c>
      <c r="B15" s="118" t="str">
        <f>'Расчет -30%'!B20</f>
        <v>Мишелевское гор.пос. </v>
      </c>
      <c r="C15" s="122">
        <v>2745.7</v>
      </c>
      <c r="D15" s="122">
        <v>10532.4</v>
      </c>
      <c r="E15" s="122">
        <v>0</v>
      </c>
      <c r="F15" s="100">
        <f t="shared" si="0"/>
        <v>13278.099999999999</v>
      </c>
      <c r="G15" s="122">
        <v>4848.9</v>
      </c>
      <c r="H15" s="122">
        <v>8213.5</v>
      </c>
      <c r="I15" s="123">
        <f>'Расчет -40% (3)'!AN20</f>
        <v>0</v>
      </c>
      <c r="J15" s="103">
        <f t="shared" si="1"/>
        <v>13062.4</v>
      </c>
      <c r="K15" s="100">
        <f>'Расчет -30%'!X20</f>
        <v>2187</v>
      </c>
      <c r="L15" s="94">
        <f t="shared" si="2"/>
        <v>1971.300000000001</v>
      </c>
    </row>
    <row r="16" spans="1:12" ht="15">
      <c r="A16" s="118">
        <f>'Расчет -30%'!A21</f>
        <v>10</v>
      </c>
      <c r="B16" s="118" t="str">
        <f>'Расчет -30%'!B21</f>
        <v>Среднинское гор.пос.</v>
      </c>
      <c r="C16" s="122">
        <v>0</v>
      </c>
      <c r="D16" s="122">
        <v>0</v>
      </c>
      <c r="E16" s="122">
        <v>0</v>
      </c>
      <c r="F16" s="100">
        <f t="shared" si="0"/>
        <v>0</v>
      </c>
      <c r="G16" s="122"/>
      <c r="H16" s="122"/>
      <c r="I16" s="123">
        <f>'Расчет -40% (3)'!AN21</f>
        <v>0</v>
      </c>
      <c r="J16" s="103">
        <f t="shared" si="1"/>
        <v>0</v>
      </c>
      <c r="K16" s="100">
        <f>'Расчет -30%'!X21</f>
        <v>5067</v>
      </c>
      <c r="L16" s="94">
        <f t="shared" si="2"/>
        <v>5067</v>
      </c>
    </row>
    <row r="17" spans="1:12" ht="15">
      <c r="A17" s="118">
        <f>'Расчет -30%'!A22</f>
        <v>11</v>
      </c>
      <c r="B17" s="118" t="str">
        <f>'Расчет -30%'!B22</f>
        <v>Тайтурское гор.пос. </v>
      </c>
      <c r="C17" s="122">
        <v>4608.1</v>
      </c>
      <c r="D17" s="122">
        <v>9999.5</v>
      </c>
      <c r="E17" s="122">
        <v>0</v>
      </c>
      <c r="F17" s="100">
        <f t="shared" si="0"/>
        <v>14607.6</v>
      </c>
      <c r="G17" s="122">
        <v>4332.6</v>
      </c>
      <c r="H17" s="122">
        <v>8055.9</v>
      </c>
      <c r="I17" s="123">
        <f>'Расчет -40% (3)'!AN22</f>
        <v>1006.79321597647</v>
      </c>
      <c r="J17" s="103">
        <f t="shared" si="1"/>
        <v>13395.29321597647</v>
      </c>
      <c r="K17" s="100">
        <f>'Расчет -30%'!X22</f>
        <v>466</v>
      </c>
      <c r="L17" s="94">
        <f t="shared" si="2"/>
        <v>-746.3067840235308</v>
      </c>
    </row>
    <row r="18" spans="1:12" ht="15">
      <c r="A18" s="118">
        <f>'Расчет -30%'!A23</f>
        <v>12</v>
      </c>
      <c r="B18" s="118" t="str">
        <f>'Расчет -30%'!B23</f>
        <v>Тельминское гор.пос.  </v>
      </c>
      <c r="C18" s="122">
        <v>7048.1</v>
      </c>
      <c r="D18" s="122">
        <v>6504.7</v>
      </c>
      <c r="E18" s="122">
        <v>0</v>
      </c>
      <c r="F18" s="100">
        <f t="shared" si="0"/>
        <v>13552.8</v>
      </c>
      <c r="G18" s="122">
        <v>9008.4</v>
      </c>
      <c r="H18" s="122">
        <v>6044.8</v>
      </c>
      <c r="I18" s="123">
        <f>'Расчет -40% (3)'!AN23</f>
        <v>0</v>
      </c>
      <c r="J18" s="103">
        <f t="shared" si="1"/>
        <v>15053.2</v>
      </c>
      <c r="K18" s="100">
        <f>'Расчет -30%'!X23</f>
        <v>68</v>
      </c>
      <c r="L18" s="94">
        <f t="shared" si="2"/>
        <v>1568.4000000000015</v>
      </c>
    </row>
    <row r="19" spans="1:12" ht="15">
      <c r="A19" s="118"/>
      <c r="B19" s="118"/>
      <c r="C19" s="121">
        <f>SUM(C6:C18)</f>
        <v>15155.2</v>
      </c>
      <c r="D19" s="121">
        <f>SUM(D6:D18)</f>
        <v>69901.90000000001</v>
      </c>
      <c r="E19" s="121">
        <f>SUM(E6:E18)</f>
        <v>23250</v>
      </c>
      <c r="F19" s="102">
        <f t="shared" si="0"/>
        <v>108307.1</v>
      </c>
      <c r="G19" s="121">
        <f>SUM(G6:G18)</f>
        <v>19362.6</v>
      </c>
      <c r="H19" s="121">
        <f>SUM(H6:H18)</f>
        <v>58447.40000000001</v>
      </c>
      <c r="I19" s="123">
        <f>'Расчет -30%'!AN24</f>
        <v>14399.999999999985</v>
      </c>
      <c r="J19" s="120">
        <f t="shared" si="1"/>
        <v>92209.99999999999</v>
      </c>
      <c r="K19" s="102">
        <f>'Расчет -30%'!X24</f>
        <v>15470</v>
      </c>
      <c r="L19" s="9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0"/>
  <sheetViews>
    <sheetView tabSelected="1" zoomScalePageLayoutView="0" workbookViewId="0" topLeftCell="A4">
      <pane xSplit="2" ySplit="7" topLeftCell="V1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AE19" sqref="AE19"/>
    </sheetView>
  </sheetViews>
  <sheetFormatPr defaultColWidth="9.140625" defaultRowHeight="15"/>
  <cols>
    <col min="1" max="1" width="4.00390625" style="0" customWidth="1"/>
    <col min="2" max="2" width="19.7109375" style="0" customWidth="1"/>
    <col min="3" max="3" width="9.00390625" style="0" customWidth="1"/>
    <col min="4" max="4" width="7.28125" style="0" customWidth="1"/>
    <col min="5" max="5" width="8.00390625" style="0" customWidth="1"/>
    <col min="6" max="6" width="7.8515625" style="0" customWidth="1"/>
    <col min="7" max="18" width="7.7109375" style="0" customWidth="1"/>
    <col min="19" max="19" width="9.57421875" style="0" customWidth="1"/>
    <col min="20" max="20" width="7.7109375" style="0" customWidth="1"/>
    <col min="21" max="21" width="9.00390625" style="0" customWidth="1"/>
    <col min="22" max="23" width="10.8515625" style="0" customWidth="1"/>
    <col min="24" max="27" width="11.421875" style="0" customWidth="1"/>
    <col min="28" max="28" width="7.57421875" style="0" customWidth="1"/>
    <col min="29" max="29" width="6.7109375" style="0" customWidth="1"/>
    <col min="30" max="30" width="0.13671875" style="0" customWidth="1"/>
    <col min="31" max="31" width="9.421875" style="0" customWidth="1"/>
    <col min="32" max="32" width="6.28125" style="0" customWidth="1"/>
    <col min="33" max="33" width="6.421875" style="0" hidden="1" customWidth="1"/>
    <col min="34" max="34" width="5.8515625" style="0" customWidth="1"/>
    <col min="35" max="35" width="7.8515625" style="0" customWidth="1"/>
    <col min="36" max="37" width="7.140625" style="0" customWidth="1"/>
    <col min="38" max="38" width="11.8515625" style="0" customWidth="1"/>
    <col min="39" max="39" width="10.28125" style="0" customWidth="1"/>
    <col min="40" max="40" width="12.00390625" style="0" customWidth="1"/>
    <col min="41" max="41" width="10.7109375" style="0" hidden="1" customWidth="1"/>
    <col min="42" max="42" width="9.140625" style="0" hidden="1" customWidth="1"/>
    <col min="43" max="43" width="0.13671875" style="0" customWidth="1"/>
    <col min="44" max="44" width="9.140625" style="0" hidden="1" customWidth="1"/>
    <col min="45" max="45" width="13.28125" style="0" hidden="1" customWidth="1"/>
    <col min="46" max="46" width="9.140625" style="0" hidden="1" customWidth="1"/>
  </cols>
  <sheetData>
    <row r="2" spans="5:13" ht="18.75"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5:13" ht="18.75">
      <c r="E3" s="1" t="s">
        <v>0</v>
      </c>
      <c r="F3" s="1"/>
      <c r="G3" s="1"/>
      <c r="H3" s="1"/>
      <c r="I3" s="1"/>
      <c r="J3" s="1"/>
      <c r="K3" s="1"/>
      <c r="L3" s="1"/>
      <c r="M3" s="1"/>
    </row>
    <row r="4" spans="5:13" ht="18.75">
      <c r="E4" s="1"/>
      <c r="F4" s="1"/>
      <c r="G4" s="1"/>
      <c r="H4" s="1"/>
      <c r="I4" s="1"/>
      <c r="J4" s="1"/>
      <c r="K4" s="1"/>
      <c r="L4" s="1"/>
      <c r="M4" s="1"/>
    </row>
    <row r="5" spans="5:13" ht="18.75">
      <c r="E5" s="1"/>
      <c r="F5" s="1"/>
      <c r="G5" s="1"/>
      <c r="H5" s="1"/>
      <c r="I5" s="1"/>
      <c r="J5" s="1" t="s">
        <v>89</v>
      </c>
      <c r="K5" s="1"/>
      <c r="L5" s="1"/>
      <c r="M5" s="1"/>
    </row>
    <row r="6" spans="5:13" ht="23.25" customHeight="1">
      <c r="E6" s="1"/>
      <c r="F6" s="1"/>
      <c r="G6" s="1"/>
      <c r="H6" s="1"/>
      <c r="I6" s="1"/>
      <c r="J6" s="1" t="s">
        <v>108</v>
      </c>
      <c r="K6" s="1"/>
      <c r="L6" s="1"/>
      <c r="M6" s="1"/>
    </row>
    <row r="7" spans="5:13" ht="29.25" customHeight="1">
      <c r="E7" s="1"/>
      <c r="F7" s="1"/>
      <c r="G7" s="1"/>
      <c r="H7" s="1"/>
      <c r="I7" s="1"/>
      <c r="J7" s="1"/>
      <c r="K7" s="1"/>
      <c r="L7" s="1"/>
      <c r="M7" s="1"/>
    </row>
    <row r="8" spans="1:42" ht="51.75" customHeight="1">
      <c r="A8" s="12" t="s">
        <v>2</v>
      </c>
      <c r="B8" s="12" t="s">
        <v>3</v>
      </c>
      <c r="C8" s="12" t="s">
        <v>86</v>
      </c>
      <c r="D8" s="12" t="s">
        <v>7</v>
      </c>
      <c r="E8" s="12" t="s">
        <v>8</v>
      </c>
      <c r="F8" s="12" t="s">
        <v>87</v>
      </c>
      <c r="G8" s="12" t="s">
        <v>88</v>
      </c>
      <c r="H8" s="12" t="s">
        <v>90</v>
      </c>
      <c r="I8" s="12" t="s">
        <v>91</v>
      </c>
      <c r="J8" s="12" t="s">
        <v>92</v>
      </c>
      <c r="K8" s="12" t="s">
        <v>15</v>
      </c>
      <c r="L8" s="12" t="s">
        <v>93</v>
      </c>
      <c r="M8" s="12" t="s">
        <v>94</v>
      </c>
      <c r="N8" s="12" t="s">
        <v>95</v>
      </c>
      <c r="O8" s="12" t="s">
        <v>110</v>
      </c>
      <c r="P8" s="12" t="s">
        <v>96</v>
      </c>
      <c r="Q8" s="12" t="s">
        <v>97</v>
      </c>
      <c r="R8" s="12" t="s">
        <v>98</v>
      </c>
      <c r="S8" s="12" t="s">
        <v>144</v>
      </c>
      <c r="T8" s="12" t="s">
        <v>141</v>
      </c>
      <c r="U8" s="12" t="s">
        <v>142</v>
      </c>
      <c r="V8" s="12" t="s">
        <v>143</v>
      </c>
      <c r="W8" s="12" t="s">
        <v>5</v>
      </c>
      <c r="X8" s="12" t="s">
        <v>140</v>
      </c>
      <c r="Y8" s="12" t="s">
        <v>30</v>
      </c>
      <c r="Z8" s="12" t="s">
        <v>145</v>
      </c>
      <c r="AA8" s="12" t="s">
        <v>145</v>
      </c>
      <c r="AB8" s="12" t="s">
        <v>146</v>
      </c>
      <c r="AC8" s="12" t="s">
        <v>147</v>
      </c>
      <c r="AD8" s="12"/>
      <c r="AE8" s="12" t="s">
        <v>148</v>
      </c>
      <c r="AF8" s="12" t="s">
        <v>149</v>
      </c>
      <c r="AG8" s="12"/>
      <c r="AH8" s="12" t="s">
        <v>150</v>
      </c>
      <c r="AI8" s="137"/>
      <c r="AJ8" s="137"/>
      <c r="AK8" s="137" t="s">
        <v>151</v>
      </c>
      <c r="AL8" s="12" t="s">
        <v>152</v>
      </c>
      <c r="AM8" s="137" t="s">
        <v>28</v>
      </c>
      <c r="AN8" s="137" t="s">
        <v>153</v>
      </c>
      <c r="AO8" s="12"/>
      <c r="AP8" s="12"/>
    </row>
    <row r="9" spans="1:46" ht="0.75" customHeight="1">
      <c r="A9" s="125" t="s">
        <v>2</v>
      </c>
      <c r="B9" s="125" t="s">
        <v>3</v>
      </c>
      <c r="C9" s="151" t="s">
        <v>86</v>
      </c>
      <c r="D9" s="152" t="s">
        <v>7</v>
      </c>
      <c r="E9" s="125" t="s">
        <v>8</v>
      </c>
      <c r="F9" s="125" t="s">
        <v>87</v>
      </c>
      <c r="G9" s="125" t="s">
        <v>88</v>
      </c>
      <c r="H9" s="125" t="s">
        <v>90</v>
      </c>
      <c r="I9" s="125" t="s">
        <v>91</v>
      </c>
      <c r="J9" s="125" t="s">
        <v>92</v>
      </c>
      <c r="K9" s="152" t="s">
        <v>15</v>
      </c>
      <c r="L9" s="125" t="s">
        <v>93</v>
      </c>
      <c r="M9" s="125" t="s">
        <v>94</v>
      </c>
      <c r="N9" s="125" t="s">
        <v>95</v>
      </c>
      <c r="O9" s="125" t="s">
        <v>110</v>
      </c>
      <c r="P9" s="125" t="s">
        <v>96</v>
      </c>
      <c r="Q9" s="125" t="s">
        <v>97</v>
      </c>
      <c r="R9" s="125" t="s">
        <v>98</v>
      </c>
      <c r="S9" s="153" t="s">
        <v>109</v>
      </c>
      <c r="T9" s="154" t="s">
        <v>104</v>
      </c>
      <c r="U9" s="125" t="s">
        <v>23</v>
      </c>
      <c r="V9" s="155" t="s">
        <v>25</v>
      </c>
      <c r="W9" s="156" t="s">
        <v>99</v>
      </c>
      <c r="X9" s="157" t="s">
        <v>100</v>
      </c>
      <c r="Y9" s="44" t="s">
        <v>29</v>
      </c>
      <c r="Z9" s="44" t="s">
        <v>135</v>
      </c>
      <c r="AA9" s="44" t="s">
        <v>135</v>
      </c>
      <c r="AB9" s="158" t="s">
        <v>101</v>
      </c>
      <c r="AC9" s="159" t="s">
        <v>33</v>
      </c>
      <c r="AD9" s="160" t="s">
        <v>34</v>
      </c>
      <c r="AE9" s="161" t="s">
        <v>102</v>
      </c>
      <c r="AF9" s="162" t="s">
        <v>103</v>
      </c>
      <c r="AG9" s="163" t="s">
        <v>78</v>
      </c>
      <c r="AH9" s="164" t="s">
        <v>133</v>
      </c>
      <c r="AI9" s="155" t="s">
        <v>73</v>
      </c>
      <c r="AJ9" s="155"/>
      <c r="AK9" s="155"/>
      <c r="AL9" s="44" t="s">
        <v>55</v>
      </c>
      <c r="AM9" s="44" t="s">
        <v>28</v>
      </c>
      <c r="AN9" s="165" t="s">
        <v>85</v>
      </c>
      <c r="AO9" s="3"/>
      <c r="AP9" s="3" t="s">
        <v>114</v>
      </c>
      <c r="AQ9" s="98" t="s">
        <v>116</v>
      </c>
      <c r="AR9" s="12"/>
      <c r="AS9" s="100" t="s">
        <v>119</v>
      </c>
      <c r="AT9" s="125" t="s">
        <v>131</v>
      </c>
    </row>
    <row r="10" spans="1:46" ht="45" customHeight="1" hidden="1">
      <c r="A10" s="43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52" t="s">
        <v>105</v>
      </c>
      <c r="U10" s="43" t="s">
        <v>24</v>
      </c>
      <c r="V10" s="51" t="s">
        <v>81</v>
      </c>
      <c r="W10" s="78"/>
      <c r="X10" s="127" t="s">
        <v>139</v>
      </c>
      <c r="Y10" s="28" t="s">
        <v>132</v>
      </c>
      <c r="Z10" s="28" t="s">
        <v>133</v>
      </c>
      <c r="AA10" s="28" t="s">
        <v>134</v>
      </c>
      <c r="AB10" s="132"/>
      <c r="AC10" s="88"/>
      <c r="AD10" s="86"/>
      <c r="AE10" s="82"/>
      <c r="AF10" s="74"/>
      <c r="AG10" s="148"/>
      <c r="AH10" s="50" t="s">
        <v>139</v>
      </c>
      <c r="AI10" s="51" t="s">
        <v>121</v>
      </c>
      <c r="AJ10" s="106" t="s">
        <v>122</v>
      </c>
      <c r="AK10" s="106">
        <v>0.5</v>
      </c>
      <c r="AL10" s="28"/>
      <c r="AM10" s="28"/>
      <c r="AN10" s="150"/>
      <c r="AO10" s="12" t="s">
        <v>113</v>
      </c>
      <c r="AP10" s="99" t="s">
        <v>117</v>
      </c>
      <c r="AQ10" s="98" t="s">
        <v>115</v>
      </c>
      <c r="AR10" s="12" t="s">
        <v>118</v>
      </c>
      <c r="AS10" s="105" t="s">
        <v>120</v>
      </c>
      <c r="AT10" t="s">
        <v>130</v>
      </c>
    </row>
    <row r="11" spans="1:46" ht="48.75" customHeight="1">
      <c r="A11" s="13">
        <v>1</v>
      </c>
      <c r="B11" s="45" t="s">
        <v>40</v>
      </c>
      <c r="C11" s="54">
        <f>D11+K11</f>
        <v>3465.9</v>
      </c>
      <c r="D11" s="54">
        <f>E11+F11+G11+H11+I11+J11</f>
        <v>3372.5</v>
      </c>
      <c r="E11" s="67">
        <v>1308.1</v>
      </c>
      <c r="F11" s="67">
        <v>0</v>
      </c>
      <c r="G11" s="67">
        <v>179.7</v>
      </c>
      <c r="H11" s="67">
        <v>1854.7</v>
      </c>
      <c r="I11" s="67">
        <v>30</v>
      </c>
      <c r="J11" s="67">
        <v>0</v>
      </c>
      <c r="K11" s="54">
        <f>L11+M11+N11+O11+P11+Q11+R11</f>
        <v>93.4</v>
      </c>
      <c r="L11" s="67">
        <v>0</v>
      </c>
      <c r="M11" s="67">
        <v>77.4</v>
      </c>
      <c r="N11" s="67">
        <v>0</v>
      </c>
      <c r="O11" s="67">
        <v>0</v>
      </c>
      <c r="P11" s="67">
        <v>0</v>
      </c>
      <c r="Q11" s="67">
        <v>16</v>
      </c>
      <c r="R11" s="67">
        <v>0</v>
      </c>
      <c r="S11" s="67">
        <f>T11+U11+V11</f>
        <v>8239.5</v>
      </c>
      <c r="T11" s="67">
        <v>0</v>
      </c>
      <c r="U11" s="67">
        <v>0</v>
      </c>
      <c r="V11" s="68">
        <f>7433.5+806</f>
        <v>8239.5</v>
      </c>
      <c r="W11" s="79">
        <f>C11+S11</f>
        <v>11705.4</v>
      </c>
      <c r="X11" s="128">
        <f>2461-545</f>
        <v>1916</v>
      </c>
      <c r="Y11" s="134">
        <f aca="true" t="shared" si="0" ref="Y11:Y24">AB11+AC11+AD11+AE11+AF11+AG11+AK11-Z11-AA11-AH11</f>
        <v>10781.300000000001</v>
      </c>
      <c r="Z11" s="134">
        <v>1998.8</v>
      </c>
      <c r="AA11" s="134">
        <v>258.9</v>
      </c>
      <c r="AB11" s="71">
        <v>4885</v>
      </c>
      <c r="AC11" s="89">
        <v>5091</v>
      </c>
      <c r="AD11" s="83"/>
      <c r="AE11" s="79">
        <v>590</v>
      </c>
      <c r="AF11" s="79">
        <v>0</v>
      </c>
      <c r="AG11" s="71"/>
      <c r="AH11" s="54">
        <v>545</v>
      </c>
      <c r="AI11" s="54">
        <f>16602-AB11-AC11-AE11</f>
        <v>6036</v>
      </c>
      <c r="AJ11" s="175">
        <v>0.5</v>
      </c>
      <c r="AK11" s="176">
        <f>AI11*AJ11</f>
        <v>3018</v>
      </c>
      <c r="AL11" s="134">
        <f>W11-Y11+X11</f>
        <v>2840.0999999999985</v>
      </c>
      <c r="AM11" s="174" t="b">
        <f>IF(AL11&lt;0,AL11)</f>
        <v>0</v>
      </c>
      <c r="AN11" s="56">
        <f>AM11/X26*U28</f>
        <v>0</v>
      </c>
      <c r="AO11" s="12">
        <v>806</v>
      </c>
      <c r="AP11" s="94">
        <f>AN11+AO11</f>
        <v>806</v>
      </c>
      <c r="AQ11" s="97">
        <f>AP11+AM11</f>
        <v>806</v>
      </c>
      <c r="AR11" s="12">
        <v>1589</v>
      </c>
      <c r="AS11" s="103">
        <f>AP11-AR11</f>
        <v>-783</v>
      </c>
      <c r="AT11">
        <f aca="true" t="shared" si="1" ref="AT11:AT24">AI11+AB11+AC11+AE11+AF11</f>
        <v>16602</v>
      </c>
    </row>
    <row r="12" spans="1:46" ht="48" customHeight="1">
      <c r="A12" s="46">
        <v>2</v>
      </c>
      <c r="B12" s="45" t="s">
        <v>41</v>
      </c>
      <c r="C12" s="54">
        <f aca="true" t="shared" si="2" ref="C12:C23">D12+K12</f>
        <v>7989.580000000001</v>
      </c>
      <c r="D12" s="54">
        <f aca="true" t="shared" si="3" ref="D12:D23">E12+F12+G12+H12+I12+J12</f>
        <v>7903.780000000001</v>
      </c>
      <c r="E12" s="67">
        <v>2653.78</v>
      </c>
      <c r="F12" s="67">
        <v>1219.4</v>
      </c>
      <c r="G12" s="67">
        <v>349.8</v>
      </c>
      <c r="H12" s="67">
        <v>3660.8</v>
      </c>
      <c r="I12" s="67">
        <v>20</v>
      </c>
      <c r="J12" s="67">
        <v>0</v>
      </c>
      <c r="K12" s="54">
        <f>L12+M12+N12+O12+P12+Q12+R12</f>
        <v>85.8</v>
      </c>
      <c r="L12" s="67">
        <v>20</v>
      </c>
      <c r="M12" s="67">
        <v>30</v>
      </c>
      <c r="N12" s="67">
        <v>0</v>
      </c>
      <c r="O12" s="67">
        <v>20.8</v>
      </c>
      <c r="P12" s="67">
        <v>0</v>
      </c>
      <c r="Q12" s="67">
        <v>15</v>
      </c>
      <c r="R12" s="67">
        <v>0</v>
      </c>
      <c r="S12" s="67">
        <f aca="true" t="shared" si="4" ref="S12:S18">T12+U12+V12</f>
        <v>2702.5</v>
      </c>
      <c r="T12" s="67">
        <v>0</v>
      </c>
      <c r="U12" s="67">
        <v>0</v>
      </c>
      <c r="V12" s="68">
        <f>1966.4+736.1</f>
        <v>2702.5</v>
      </c>
      <c r="W12" s="79">
        <f aca="true" t="shared" si="5" ref="W12:W23">C12+S12</f>
        <v>10692.080000000002</v>
      </c>
      <c r="X12" s="128">
        <f>1661-785</f>
        <v>876</v>
      </c>
      <c r="Y12" s="134">
        <f t="shared" si="0"/>
        <v>11261.800000000001</v>
      </c>
      <c r="Z12" s="134">
        <v>2292.9</v>
      </c>
      <c r="AA12" s="134">
        <v>351.3</v>
      </c>
      <c r="AB12" s="71">
        <v>3845</v>
      </c>
      <c r="AC12" s="89">
        <v>6332</v>
      </c>
      <c r="AD12" s="83"/>
      <c r="AE12" s="79">
        <v>500</v>
      </c>
      <c r="AF12" s="79">
        <v>0</v>
      </c>
      <c r="AG12" s="71"/>
      <c r="AH12" s="54">
        <v>785</v>
      </c>
      <c r="AI12" s="54">
        <f>18705-AB12-AC12-AE12-AF12</f>
        <v>8028</v>
      </c>
      <c r="AJ12" s="175">
        <v>0.5</v>
      </c>
      <c r="AK12" s="176">
        <f aca="true" t="shared" si="6" ref="AK12:AK24">AI12*AJ12</f>
        <v>4014</v>
      </c>
      <c r="AL12" s="54">
        <f aca="true" t="shared" si="7" ref="AL11:AL23">W12-Y12+X12</f>
        <v>306.28000000000065</v>
      </c>
      <c r="AM12" s="174" t="b">
        <f aca="true" t="shared" si="8" ref="AM12:AM23">IF(AL12&lt;0,AL12)</f>
        <v>0</v>
      </c>
      <c r="AN12" s="56">
        <f>AM12/X26*U28</f>
        <v>0</v>
      </c>
      <c r="AO12" s="12">
        <v>736.1</v>
      </c>
      <c r="AP12" s="94">
        <f aca="true" t="shared" si="9" ref="AP12:AP23">AN12+AO12</f>
        <v>736.1</v>
      </c>
      <c r="AQ12" s="97">
        <f aca="true" t="shared" si="10" ref="AQ12:AQ23">AP12+AM12</f>
        <v>736.1</v>
      </c>
      <c r="AR12" s="12">
        <v>3491</v>
      </c>
      <c r="AS12" s="103">
        <f aca="true" t="shared" si="11" ref="AS12:AS23">AP12-AR12</f>
        <v>-2754.9</v>
      </c>
      <c r="AT12">
        <f t="shared" si="1"/>
        <v>18705</v>
      </c>
    </row>
    <row r="13" spans="1:46" ht="48.75" customHeight="1" hidden="1">
      <c r="A13" s="63">
        <v>0</v>
      </c>
      <c r="B13" s="64" t="s">
        <v>42</v>
      </c>
      <c r="C13" s="65">
        <f t="shared" si="2"/>
        <v>0</v>
      </c>
      <c r="D13" s="65">
        <f t="shared" si="3"/>
        <v>0</v>
      </c>
      <c r="E13" s="65"/>
      <c r="F13" s="65"/>
      <c r="G13" s="65"/>
      <c r="H13" s="65"/>
      <c r="I13" s="65"/>
      <c r="J13" s="65"/>
      <c r="K13" s="65">
        <f>L13+M13+N13+P13+Q13+R13</f>
        <v>0</v>
      </c>
      <c r="L13" s="65"/>
      <c r="M13" s="65"/>
      <c r="N13" s="65"/>
      <c r="O13" s="65"/>
      <c r="P13" s="65"/>
      <c r="Q13" s="65"/>
      <c r="R13" s="65"/>
      <c r="S13" s="65"/>
      <c r="T13" s="65"/>
      <c r="U13" s="65">
        <v>0</v>
      </c>
      <c r="V13" s="69"/>
      <c r="W13" s="75">
        <f t="shared" si="5"/>
        <v>0</v>
      </c>
      <c r="X13" s="129"/>
      <c r="Y13" s="134">
        <f t="shared" si="0"/>
        <v>0</v>
      </c>
      <c r="Z13" s="134"/>
      <c r="AA13" s="134"/>
      <c r="AB13" s="72"/>
      <c r="AC13" s="90"/>
      <c r="AD13" s="84"/>
      <c r="AE13" s="75"/>
      <c r="AF13" s="75"/>
      <c r="AG13" s="72"/>
      <c r="AH13" s="65"/>
      <c r="AI13" s="65"/>
      <c r="AJ13" s="175">
        <v>0.5</v>
      </c>
      <c r="AK13" s="176">
        <f t="shared" si="6"/>
        <v>0</v>
      </c>
      <c r="AL13" s="65">
        <f t="shared" si="7"/>
        <v>0</v>
      </c>
      <c r="AM13" s="55" t="b">
        <f t="shared" si="8"/>
        <v>0</v>
      </c>
      <c r="AN13" s="66">
        <f>AM13/X26*U28</f>
        <v>0</v>
      </c>
      <c r="AO13" s="12"/>
      <c r="AP13" s="94">
        <f t="shared" si="9"/>
        <v>0</v>
      </c>
      <c r="AQ13" s="97">
        <f t="shared" si="10"/>
        <v>0</v>
      </c>
      <c r="AR13" s="12"/>
      <c r="AS13" s="103">
        <f t="shared" si="11"/>
        <v>0</v>
      </c>
      <c r="AT13">
        <f t="shared" si="1"/>
        <v>0</v>
      </c>
    </row>
    <row r="14" spans="1:46" ht="48.75" customHeight="1">
      <c r="A14" s="46">
        <v>3</v>
      </c>
      <c r="B14" s="45" t="s">
        <v>43</v>
      </c>
      <c r="C14" s="54">
        <f t="shared" si="2"/>
        <v>1583</v>
      </c>
      <c r="D14" s="54">
        <f t="shared" si="3"/>
        <v>1571</v>
      </c>
      <c r="E14" s="67">
        <v>409</v>
      </c>
      <c r="F14" s="67">
        <v>0</v>
      </c>
      <c r="G14" s="67">
        <v>102</v>
      </c>
      <c r="H14" s="67">
        <v>1040</v>
      </c>
      <c r="I14" s="67">
        <v>20</v>
      </c>
      <c r="J14" s="67">
        <v>0</v>
      </c>
      <c r="K14" s="54">
        <f aca="true" t="shared" si="12" ref="K14:K23">L14+M14+N14+O14+P14+Q14+R14</f>
        <v>12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12</v>
      </c>
      <c r="R14" s="67">
        <v>0</v>
      </c>
      <c r="S14" s="67">
        <f t="shared" si="4"/>
        <v>8455.7</v>
      </c>
      <c r="T14" s="67">
        <v>0</v>
      </c>
      <c r="U14" s="67">
        <v>148.4</v>
      </c>
      <c r="V14" s="68">
        <f>7605.6+701.7</f>
        <v>8307.300000000001</v>
      </c>
      <c r="W14" s="79">
        <f t="shared" si="5"/>
        <v>10038.7</v>
      </c>
      <c r="X14" s="128">
        <f>628</f>
        <v>628</v>
      </c>
      <c r="Y14" s="134">
        <f t="shared" si="0"/>
        <v>14580.4</v>
      </c>
      <c r="Z14" s="134">
        <v>2292.9</v>
      </c>
      <c r="AA14" s="134">
        <v>110.7</v>
      </c>
      <c r="AB14" s="71">
        <v>4895</v>
      </c>
      <c r="AC14" s="89">
        <v>5799</v>
      </c>
      <c r="AD14" s="83"/>
      <c r="AE14" s="79">
        <v>729</v>
      </c>
      <c r="AF14" s="79">
        <v>0</v>
      </c>
      <c r="AG14" s="71"/>
      <c r="AH14" s="54">
        <v>0</v>
      </c>
      <c r="AI14" s="54">
        <f>22545-AB14-AC14-AE14-AF14</f>
        <v>11122</v>
      </c>
      <c r="AJ14" s="175">
        <v>0.5</v>
      </c>
      <c r="AK14" s="176">
        <f t="shared" si="6"/>
        <v>5561</v>
      </c>
      <c r="AL14" s="54">
        <f t="shared" si="7"/>
        <v>-3913.699999999999</v>
      </c>
      <c r="AM14" s="55">
        <f t="shared" si="8"/>
        <v>-3913.699999999999</v>
      </c>
      <c r="AN14" s="56">
        <f>AM14/X26*U28</f>
        <v>3268.5856131213723</v>
      </c>
      <c r="AO14" s="12">
        <v>701.7</v>
      </c>
      <c r="AP14" s="94">
        <f t="shared" si="9"/>
        <v>3970.285613121372</v>
      </c>
      <c r="AQ14" s="97">
        <f t="shared" si="10"/>
        <v>56.58561312137317</v>
      </c>
      <c r="AR14" s="12">
        <v>4563</v>
      </c>
      <c r="AS14" s="103">
        <f t="shared" si="11"/>
        <v>-592.7143868786279</v>
      </c>
      <c r="AT14">
        <f t="shared" si="1"/>
        <v>22545</v>
      </c>
    </row>
    <row r="15" spans="1:46" ht="48.75" customHeight="1">
      <c r="A15" s="46">
        <v>4</v>
      </c>
      <c r="B15" s="45" t="s">
        <v>44</v>
      </c>
      <c r="C15" s="54">
        <f t="shared" si="2"/>
        <v>1528.1</v>
      </c>
      <c r="D15" s="54">
        <f>E15+F15+G15+H15+I15+J15</f>
        <v>1113.1</v>
      </c>
      <c r="E15" s="67">
        <v>500</v>
      </c>
      <c r="F15" s="67">
        <v>13.1</v>
      </c>
      <c r="G15" s="67">
        <v>100</v>
      </c>
      <c r="H15" s="67">
        <v>470</v>
      </c>
      <c r="I15" s="67">
        <v>30</v>
      </c>
      <c r="J15" s="67">
        <v>0</v>
      </c>
      <c r="K15" s="54">
        <f t="shared" si="12"/>
        <v>415</v>
      </c>
      <c r="L15" s="67">
        <v>0</v>
      </c>
      <c r="M15" s="67">
        <v>350</v>
      </c>
      <c r="N15" s="67">
        <v>0</v>
      </c>
      <c r="O15" s="67">
        <v>10</v>
      </c>
      <c r="P15" s="67">
        <v>0</v>
      </c>
      <c r="Q15" s="67">
        <v>5</v>
      </c>
      <c r="R15" s="67">
        <v>50</v>
      </c>
      <c r="S15" s="67">
        <f t="shared" si="4"/>
        <v>3864.4</v>
      </c>
      <c r="T15" s="67">
        <v>0</v>
      </c>
      <c r="U15" s="67">
        <v>0</v>
      </c>
      <c r="V15" s="68">
        <f>3387.3+477.1</f>
        <v>3864.4</v>
      </c>
      <c r="W15" s="79">
        <f t="shared" si="5"/>
        <v>5392.5</v>
      </c>
      <c r="X15" s="128">
        <f>921-869</f>
        <v>52</v>
      </c>
      <c r="Y15" s="134">
        <f t="shared" si="0"/>
        <v>11292.5</v>
      </c>
      <c r="Z15" s="134">
        <v>587.9</v>
      </c>
      <c r="AA15" s="134">
        <v>268.1</v>
      </c>
      <c r="AB15" s="71">
        <v>2578</v>
      </c>
      <c r="AC15" s="89">
        <v>6100</v>
      </c>
      <c r="AD15" s="83"/>
      <c r="AE15" s="79">
        <v>1815</v>
      </c>
      <c r="AF15" s="79">
        <v>683</v>
      </c>
      <c r="AG15" s="71"/>
      <c r="AH15" s="54">
        <v>869</v>
      </c>
      <c r="AI15" s="54">
        <f>14859-AB15-AC15-AE15-AF15</f>
        <v>3683</v>
      </c>
      <c r="AJ15" s="175">
        <v>0.5</v>
      </c>
      <c r="AK15" s="176">
        <f t="shared" si="6"/>
        <v>1841.5</v>
      </c>
      <c r="AL15" s="54">
        <f t="shared" si="7"/>
        <v>-5848</v>
      </c>
      <c r="AM15" s="55">
        <f t="shared" si="8"/>
        <v>-5848</v>
      </c>
      <c r="AN15" s="56">
        <f>AM15/X26*U28</f>
        <v>4884.0454469003225</v>
      </c>
      <c r="AO15" s="12">
        <v>477.1</v>
      </c>
      <c r="AP15" s="94">
        <f t="shared" si="9"/>
        <v>5361.145446900323</v>
      </c>
      <c r="AQ15" s="97">
        <f t="shared" si="10"/>
        <v>-486.8545530996771</v>
      </c>
      <c r="AR15" s="12">
        <v>5443</v>
      </c>
      <c r="AS15" s="103">
        <f t="shared" si="11"/>
        <v>-81.8545530996771</v>
      </c>
      <c r="AT15">
        <f t="shared" si="1"/>
        <v>14859</v>
      </c>
    </row>
    <row r="16" spans="1:46" ht="48.75" customHeight="1">
      <c r="A16" s="46">
        <v>5</v>
      </c>
      <c r="B16" s="45" t="s">
        <v>45</v>
      </c>
      <c r="C16" s="54">
        <f t="shared" si="2"/>
        <v>1038.7</v>
      </c>
      <c r="D16" s="54">
        <f t="shared" si="3"/>
        <v>939.7</v>
      </c>
      <c r="E16" s="67">
        <v>414.7</v>
      </c>
      <c r="F16" s="67">
        <v>0</v>
      </c>
      <c r="G16" s="67">
        <v>100</v>
      </c>
      <c r="H16" s="67">
        <v>410</v>
      </c>
      <c r="I16" s="67">
        <v>15</v>
      </c>
      <c r="J16" s="67">
        <v>0</v>
      </c>
      <c r="K16" s="54">
        <f t="shared" si="12"/>
        <v>99</v>
      </c>
      <c r="L16" s="67">
        <v>0</v>
      </c>
      <c r="M16" s="67">
        <v>0</v>
      </c>
      <c r="N16" s="67">
        <v>0</v>
      </c>
      <c r="O16" s="67">
        <v>15</v>
      </c>
      <c r="P16" s="67">
        <v>0</v>
      </c>
      <c r="Q16" s="67">
        <v>9</v>
      </c>
      <c r="R16" s="67">
        <v>75</v>
      </c>
      <c r="S16" s="67">
        <f t="shared" si="4"/>
        <v>6029.400000000001</v>
      </c>
      <c r="T16" s="67">
        <v>0</v>
      </c>
      <c r="U16" s="67">
        <v>488.8</v>
      </c>
      <c r="V16" s="68">
        <f>5070.6+470</f>
        <v>5540.6</v>
      </c>
      <c r="W16" s="79">
        <f t="shared" si="5"/>
        <v>7068.1</v>
      </c>
      <c r="X16" s="128">
        <f>413-374</f>
        <v>39</v>
      </c>
      <c r="Y16" s="134">
        <f t="shared" si="0"/>
        <v>10991.699999999999</v>
      </c>
      <c r="Z16" s="134">
        <v>2351.7</v>
      </c>
      <c r="AA16" s="134">
        <v>128.6</v>
      </c>
      <c r="AB16" s="71">
        <v>2942</v>
      </c>
      <c r="AC16" s="89">
        <v>6924</v>
      </c>
      <c r="AD16" s="83"/>
      <c r="AE16" s="79">
        <v>1253</v>
      </c>
      <c r="AF16" s="79">
        <v>0</v>
      </c>
      <c r="AG16" s="71"/>
      <c r="AH16" s="54">
        <v>374</v>
      </c>
      <c r="AI16" s="54">
        <f>16573-AB16-AC16-AE16</f>
        <v>5454</v>
      </c>
      <c r="AJ16" s="175">
        <v>0.5</v>
      </c>
      <c r="AK16" s="176">
        <f t="shared" si="6"/>
        <v>2727</v>
      </c>
      <c r="AL16" s="54">
        <f t="shared" si="7"/>
        <v>-3884.5999999999985</v>
      </c>
      <c r="AM16" s="55">
        <f t="shared" si="8"/>
        <v>-3884.5999999999985</v>
      </c>
      <c r="AN16" s="56">
        <f>AM16/X26*U28</f>
        <v>3244.282308999484</v>
      </c>
      <c r="AO16" s="12">
        <v>470</v>
      </c>
      <c r="AP16" s="94">
        <f t="shared" si="9"/>
        <v>3714.282308999484</v>
      </c>
      <c r="AQ16" s="97">
        <f t="shared" si="10"/>
        <v>-170.31769100051451</v>
      </c>
      <c r="AR16" s="12">
        <v>5444</v>
      </c>
      <c r="AS16" s="103">
        <f t="shared" si="11"/>
        <v>-1729.717691000516</v>
      </c>
      <c r="AT16">
        <f t="shared" si="1"/>
        <v>16573</v>
      </c>
    </row>
    <row r="17" spans="1:46" ht="48.75" customHeight="1">
      <c r="A17" s="46">
        <v>6</v>
      </c>
      <c r="B17" s="45" t="s">
        <v>46</v>
      </c>
      <c r="C17" s="54">
        <f t="shared" si="2"/>
        <v>4806</v>
      </c>
      <c r="D17" s="54">
        <f t="shared" si="3"/>
        <v>4637</v>
      </c>
      <c r="E17" s="67">
        <v>3400</v>
      </c>
      <c r="F17" s="67">
        <v>27</v>
      </c>
      <c r="G17" s="67">
        <v>310</v>
      </c>
      <c r="H17" s="67">
        <v>880</v>
      </c>
      <c r="I17" s="67">
        <v>20</v>
      </c>
      <c r="J17" s="67">
        <v>0</v>
      </c>
      <c r="K17" s="54">
        <f t="shared" si="12"/>
        <v>169</v>
      </c>
      <c r="L17" s="67">
        <v>0</v>
      </c>
      <c r="M17" s="67">
        <v>0</v>
      </c>
      <c r="N17" s="67">
        <v>0</v>
      </c>
      <c r="O17" s="67">
        <v>100</v>
      </c>
      <c r="P17" s="67">
        <v>0</v>
      </c>
      <c r="Q17" s="67">
        <v>19</v>
      </c>
      <c r="R17" s="67">
        <v>50</v>
      </c>
      <c r="S17" s="67">
        <f t="shared" si="4"/>
        <v>3551.8999999999996</v>
      </c>
      <c r="T17" s="67">
        <v>0</v>
      </c>
      <c r="U17" s="67">
        <v>0</v>
      </c>
      <c r="V17" s="68">
        <f>3033.6+518.3</f>
        <v>3551.8999999999996</v>
      </c>
      <c r="W17" s="79">
        <f t="shared" si="5"/>
        <v>8357.9</v>
      </c>
      <c r="X17" s="128">
        <f>2634-380</f>
        <v>2254</v>
      </c>
      <c r="Y17" s="134">
        <f t="shared" si="0"/>
        <v>11692.4</v>
      </c>
      <c r="Z17" s="134">
        <v>881.9</v>
      </c>
      <c r="AA17" s="134">
        <v>289.7</v>
      </c>
      <c r="AB17" s="71">
        <v>4025</v>
      </c>
      <c r="AC17" s="89">
        <v>5838</v>
      </c>
      <c r="AD17" s="83"/>
      <c r="AE17" s="79">
        <v>584</v>
      </c>
      <c r="AF17" s="79">
        <v>0</v>
      </c>
      <c r="AG17" s="71"/>
      <c r="AH17" s="54">
        <v>380</v>
      </c>
      <c r="AI17" s="54">
        <f>16041-AB17-AC17-AE17</f>
        <v>5594</v>
      </c>
      <c r="AJ17" s="175">
        <v>0.5</v>
      </c>
      <c r="AK17" s="176">
        <f t="shared" si="6"/>
        <v>2797</v>
      </c>
      <c r="AL17" s="54">
        <f t="shared" si="7"/>
        <v>-1080.5</v>
      </c>
      <c r="AM17" s="55">
        <f t="shared" si="8"/>
        <v>-1080.5</v>
      </c>
      <c r="AN17" s="56">
        <f>AM17/X26*U28</f>
        <v>902.3958798522226</v>
      </c>
      <c r="AO17" s="12">
        <v>518.3</v>
      </c>
      <c r="AP17" s="94">
        <f t="shared" si="9"/>
        <v>1420.6958798522226</v>
      </c>
      <c r="AQ17" s="97">
        <f t="shared" si="10"/>
        <v>340.19587985222256</v>
      </c>
      <c r="AR17" s="12">
        <v>3087</v>
      </c>
      <c r="AS17" s="103">
        <f t="shared" si="11"/>
        <v>-1666.3041201477774</v>
      </c>
      <c r="AT17">
        <f t="shared" si="1"/>
        <v>16041</v>
      </c>
    </row>
    <row r="18" spans="1:46" ht="48.75" customHeight="1">
      <c r="A18" s="46">
        <v>7</v>
      </c>
      <c r="B18" s="45" t="s">
        <v>47</v>
      </c>
      <c r="C18" s="54">
        <f t="shared" si="2"/>
        <v>358.5</v>
      </c>
      <c r="D18" s="54">
        <f t="shared" si="3"/>
        <v>355.5</v>
      </c>
      <c r="E18" s="67">
        <v>218</v>
      </c>
      <c r="F18" s="67">
        <v>0</v>
      </c>
      <c r="G18" s="67">
        <v>34.5</v>
      </c>
      <c r="H18" s="67">
        <v>88</v>
      </c>
      <c r="I18" s="67">
        <v>15</v>
      </c>
      <c r="J18" s="67">
        <v>0</v>
      </c>
      <c r="K18" s="54">
        <f t="shared" si="12"/>
        <v>3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3</v>
      </c>
      <c r="R18" s="67">
        <v>0</v>
      </c>
      <c r="S18" s="67">
        <f t="shared" si="4"/>
        <v>4462.5</v>
      </c>
      <c r="T18" s="67">
        <v>0</v>
      </c>
      <c r="U18" s="67">
        <v>535.5</v>
      </c>
      <c r="V18" s="68">
        <f>3588.2+338.8</f>
        <v>3927</v>
      </c>
      <c r="W18" s="79">
        <f t="shared" si="5"/>
        <v>4821</v>
      </c>
      <c r="X18" s="128">
        <f>2202-2198</f>
        <v>4</v>
      </c>
      <c r="Y18" s="134">
        <f t="shared" si="0"/>
        <v>4811.5</v>
      </c>
      <c r="Z18" s="134">
        <v>881.9</v>
      </c>
      <c r="AA18" s="134">
        <v>87.1</v>
      </c>
      <c r="AB18" s="71">
        <v>516</v>
      </c>
      <c r="AC18" s="89">
        <v>4568</v>
      </c>
      <c r="AD18" s="83"/>
      <c r="AE18" s="79">
        <v>207</v>
      </c>
      <c r="AF18" s="79">
        <v>0</v>
      </c>
      <c r="AG18" s="71"/>
      <c r="AH18" s="54">
        <v>2198</v>
      </c>
      <c r="AI18" s="54">
        <f>10666-AB18-AC18-AE18</f>
        <v>5375</v>
      </c>
      <c r="AJ18" s="175">
        <v>0.5</v>
      </c>
      <c r="AK18" s="176">
        <f t="shared" si="6"/>
        <v>2687.5</v>
      </c>
      <c r="AL18" s="54">
        <f t="shared" si="7"/>
        <v>13.5</v>
      </c>
      <c r="AM18" s="174" t="b">
        <f t="shared" si="8"/>
        <v>0</v>
      </c>
      <c r="AN18" s="56">
        <f>AM18/X26*U28</f>
        <v>0</v>
      </c>
      <c r="AO18" s="12">
        <v>338.8</v>
      </c>
      <c r="AP18" s="94">
        <f t="shared" si="9"/>
        <v>338.8</v>
      </c>
      <c r="AQ18" s="97">
        <f t="shared" si="10"/>
        <v>338.8</v>
      </c>
      <c r="AR18" s="12">
        <v>2140</v>
      </c>
      <c r="AS18" s="103">
        <f t="shared" si="11"/>
        <v>-1801.2</v>
      </c>
      <c r="AT18">
        <f t="shared" si="1"/>
        <v>10666</v>
      </c>
    </row>
    <row r="19" spans="1:46" ht="48.75" customHeight="1">
      <c r="A19" s="13">
        <v>8</v>
      </c>
      <c r="B19" s="45" t="s">
        <v>48</v>
      </c>
      <c r="C19" s="54">
        <f t="shared" si="2"/>
        <v>72375.1</v>
      </c>
      <c r="D19" s="54">
        <f t="shared" si="3"/>
        <v>69896.5</v>
      </c>
      <c r="E19" s="67">
        <v>32595</v>
      </c>
      <c r="F19" s="67">
        <v>33794.5</v>
      </c>
      <c r="G19" s="67">
        <v>900</v>
      </c>
      <c r="H19" s="67">
        <v>2557</v>
      </c>
      <c r="I19" s="67">
        <v>50</v>
      </c>
      <c r="J19" s="67">
        <v>0</v>
      </c>
      <c r="K19" s="54">
        <f t="shared" si="12"/>
        <v>2478.6</v>
      </c>
      <c r="L19" s="67">
        <v>322</v>
      </c>
      <c r="M19" s="67">
        <v>730</v>
      </c>
      <c r="N19" s="67">
        <v>0</v>
      </c>
      <c r="O19" s="67">
        <v>7.1</v>
      </c>
      <c r="P19" s="67">
        <v>1350</v>
      </c>
      <c r="Q19" s="67">
        <v>0</v>
      </c>
      <c r="R19" s="67">
        <v>69.5</v>
      </c>
      <c r="S19" s="67">
        <f>T19+U19+V19</f>
        <v>0</v>
      </c>
      <c r="T19" s="67">
        <v>0</v>
      </c>
      <c r="U19" s="67">
        <v>0</v>
      </c>
      <c r="V19" s="68">
        <v>0</v>
      </c>
      <c r="W19" s="79">
        <f t="shared" si="5"/>
        <v>72375.1</v>
      </c>
      <c r="X19" s="128">
        <v>1913</v>
      </c>
      <c r="Y19" s="134">
        <f t="shared" si="0"/>
        <v>56801.1</v>
      </c>
      <c r="Z19" s="134">
        <v>1881.1</v>
      </c>
      <c r="AA19" s="134">
        <v>812.8</v>
      </c>
      <c r="AB19" s="71">
        <v>10055</v>
      </c>
      <c r="AC19" s="89">
        <v>26756</v>
      </c>
      <c r="AD19" s="83"/>
      <c r="AE19" s="79">
        <v>1399</v>
      </c>
      <c r="AF19" s="79">
        <v>0</v>
      </c>
      <c r="AG19" s="71"/>
      <c r="AH19" s="54">
        <v>0</v>
      </c>
      <c r="AI19" s="54">
        <f>80780-AB19-AC19-AE19</f>
        <v>42570</v>
      </c>
      <c r="AJ19" s="175">
        <v>0.5</v>
      </c>
      <c r="AK19" s="176">
        <f t="shared" si="6"/>
        <v>21285</v>
      </c>
      <c r="AL19" s="54">
        <f t="shared" si="7"/>
        <v>17487.000000000007</v>
      </c>
      <c r="AM19" s="174" t="b">
        <f t="shared" si="8"/>
        <v>0</v>
      </c>
      <c r="AN19" s="56">
        <f>AM19/X26*U28</f>
        <v>0</v>
      </c>
      <c r="AO19" s="12">
        <v>0</v>
      </c>
      <c r="AP19" s="94">
        <f t="shared" si="9"/>
        <v>0</v>
      </c>
      <c r="AQ19" s="97">
        <f t="shared" si="10"/>
        <v>0</v>
      </c>
      <c r="AR19" s="100">
        <v>4</v>
      </c>
      <c r="AS19" s="104">
        <f t="shared" si="11"/>
        <v>-4</v>
      </c>
      <c r="AT19">
        <f t="shared" si="1"/>
        <v>80780</v>
      </c>
    </row>
    <row r="20" spans="1:46" ht="48.75" customHeight="1">
      <c r="A20" s="13">
        <v>9</v>
      </c>
      <c r="B20" s="45" t="s">
        <v>49</v>
      </c>
      <c r="C20" s="54">
        <f t="shared" si="2"/>
        <v>11035.300000000001</v>
      </c>
      <c r="D20" s="54">
        <f t="shared" si="3"/>
        <v>10533.1</v>
      </c>
      <c r="E20" s="67">
        <v>8071.2</v>
      </c>
      <c r="F20" s="67">
        <v>0</v>
      </c>
      <c r="G20" s="67">
        <v>509.5</v>
      </c>
      <c r="H20" s="67">
        <v>1878.4</v>
      </c>
      <c r="I20" s="67">
        <v>74</v>
      </c>
      <c r="J20" s="67">
        <v>0</v>
      </c>
      <c r="K20" s="54">
        <f t="shared" si="12"/>
        <v>502.2</v>
      </c>
      <c r="L20" s="67">
        <v>177.2</v>
      </c>
      <c r="M20" s="67">
        <v>0</v>
      </c>
      <c r="N20" s="67">
        <v>0</v>
      </c>
      <c r="O20" s="67">
        <v>40</v>
      </c>
      <c r="P20" s="67">
        <v>30</v>
      </c>
      <c r="Q20" s="67">
        <v>15</v>
      </c>
      <c r="R20" s="67">
        <v>240</v>
      </c>
      <c r="S20" s="67">
        <f>T20+U20+V20</f>
        <v>13062.4</v>
      </c>
      <c r="T20" s="67">
        <v>0</v>
      </c>
      <c r="U20" s="67">
        <v>4848.9</v>
      </c>
      <c r="V20" s="68">
        <f>6588.8+1624.7</f>
        <v>8213.5</v>
      </c>
      <c r="W20" s="79">
        <f t="shared" si="5"/>
        <v>24097.7</v>
      </c>
      <c r="X20" s="128">
        <f>2839-652</f>
        <v>2187</v>
      </c>
      <c r="Y20" s="134">
        <f t="shared" si="0"/>
        <v>24442</v>
      </c>
      <c r="Z20" s="134">
        <v>2175.3</v>
      </c>
      <c r="AA20" s="134">
        <v>497.2</v>
      </c>
      <c r="AB20" s="71">
        <v>3192</v>
      </c>
      <c r="AC20" s="89">
        <v>12805</v>
      </c>
      <c r="AD20" s="83"/>
      <c r="AE20" s="79">
        <v>952</v>
      </c>
      <c r="AF20" s="79">
        <v>0</v>
      </c>
      <c r="AG20" s="71"/>
      <c r="AH20" s="54">
        <v>652</v>
      </c>
      <c r="AI20" s="54">
        <f>38584-AB20-AC20-AE20</f>
        <v>21635</v>
      </c>
      <c r="AJ20" s="175">
        <v>0.5</v>
      </c>
      <c r="AK20" s="176">
        <f t="shared" si="6"/>
        <v>10817.5</v>
      </c>
      <c r="AL20" s="54">
        <f t="shared" si="7"/>
        <v>1842.7000000000007</v>
      </c>
      <c r="AM20" s="174" t="b">
        <f>IF(AL20&lt;0,AL20)</f>
        <v>0</v>
      </c>
      <c r="AN20" s="56">
        <f>AM20/X26*U28</f>
        <v>0</v>
      </c>
      <c r="AO20" s="12">
        <v>1624.7</v>
      </c>
      <c r="AP20" s="94">
        <f t="shared" si="9"/>
        <v>1624.7</v>
      </c>
      <c r="AQ20" s="97">
        <f t="shared" si="10"/>
        <v>1624.7</v>
      </c>
      <c r="AR20" s="101">
        <v>1465</v>
      </c>
      <c r="AS20" s="104">
        <f t="shared" si="11"/>
        <v>159.70000000000005</v>
      </c>
      <c r="AT20">
        <f t="shared" si="1"/>
        <v>38584</v>
      </c>
    </row>
    <row r="21" spans="1:46" ht="48.75" customHeight="1">
      <c r="A21" s="13">
        <v>10</v>
      </c>
      <c r="B21" s="45" t="s">
        <v>50</v>
      </c>
      <c r="C21" s="54">
        <f t="shared" si="2"/>
        <v>22581.5</v>
      </c>
      <c r="D21" s="54">
        <f t="shared" si="3"/>
        <v>22561.5</v>
      </c>
      <c r="E21" s="67">
        <v>22500</v>
      </c>
      <c r="F21" s="67">
        <v>0</v>
      </c>
      <c r="G21" s="67">
        <v>5.5</v>
      </c>
      <c r="H21" s="67">
        <v>16</v>
      </c>
      <c r="I21" s="67">
        <v>40</v>
      </c>
      <c r="J21" s="67">
        <v>0</v>
      </c>
      <c r="K21" s="54">
        <f t="shared" si="12"/>
        <v>20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20</v>
      </c>
      <c r="R21" s="67">
        <v>0</v>
      </c>
      <c r="S21" s="67">
        <f>T21+U21+V21</f>
        <v>0</v>
      </c>
      <c r="T21" s="67">
        <v>0</v>
      </c>
      <c r="U21" s="67">
        <v>0</v>
      </c>
      <c r="V21" s="68">
        <v>0</v>
      </c>
      <c r="W21" s="79">
        <f t="shared" si="5"/>
        <v>22581.5</v>
      </c>
      <c r="X21" s="128">
        <v>5067</v>
      </c>
      <c r="Y21" s="134">
        <f t="shared" si="0"/>
        <v>16204.76</v>
      </c>
      <c r="Z21" s="134">
        <v>587.84</v>
      </c>
      <c r="AA21" s="134">
        <v>315.4</v>
      </c>
      <c r="AB21" s="71">
        <v>0</v>
      </c>
      <c r="AC21" s="89">
        <v>9952</v>
      </c>
      <c r="AD21" s="83"/>
      <c r="AE21" s="79">
        <v>548</v>
      </c>
      <c r="AF21" s="79">
        <v>0</v>
      </c>
      <c r="AG21" s="71"/>
      <c r="AH21" s="54">
        <v>0</v>
      </c>
      <c r="AI21" s="54">
        <f>23716-AB21-AC21-AE21</f>
        <v>13216</v>
      </c>
      <c r="AJ21" s="175">
        <v>0.5</v>
      </c>
      <c r="AK21" s="176">
        <f t="shared" si="6"/>
        <v>6608</v>
      </c>
      <c r="AL21" s="54">
        <f t="shared" si="7"/>
        <v>11443.74</v>
      </c>
      <c r="AM21" s="174" t="b">
        <f t="shared" si="8"/>
        <v>0</v>
      </c>
      <c r="AN21" s="56">
        <f>AM21/X26*U28</f>
        <v>0</v>
      </c>
      <c r="AO21" s="12">
        <v>0</v>
      </c>
      <c r="AP21" s="94">
        <f t="shared" si="9"/>
        <v>0</v>
      </c>
      <c r="AQ21" s="97">
        <f t="shared" si="10"/>
        <v>0</v>
      </c>
      <c r="AR21" s="12">
        <v>0</v>
      </c>
      <c r="AS21" s="94">
        <f t="shared" si="11"/>
        <v>0</v>
      </c>
      <c r="AT21">
        <f t="shared" si="1"/>
        <v>23716</v>
      </c>
    </row>
    <row r="22" spans="1:46" ht="48.75" customHeight="1">
      <c r="A22" s="46">
        <v>11</v>
      </c>
      <c r="B22" s="45" t="s">
        <v>51</v>
      </c>
      <c r="C22" s="54">
        <f t="shared" si="2"/>
        <v>9809</v>
      </c>
      <c r="D22" s="54">
        <f t="shared" si="3"/>
        <v>9168</v>
      </c>
      <c r="E22" s="67">
        <v>6906</v>
      </c>
      <c r="F22" s="67">
        <v>0</v>
      </c>
      <c r="G22" s="67">
        <v>410</v>
      </c>
      <c r="H22" s="67">
        <v>1812</v>
      </c>
      <c r="I22" s="67">
        <v>40</v>
      </c>
      <c r="J22" s="67">
        <v>0</v>
      </c>
      <c r="K22" s="54">
        <f t="shared" si="12"/>
        <v>641</v>
      </c>
      <c r="L22" s="67">
        <v>390</v>
      </c>
      <c r="M22" s="67">
        <v>21</v>
      </c>
      <c r="N22" s="67">
        <v>0</v>
      </c>
      <c r="O22" s="67">
        <v>50</v>
      </c>
      <c r="P22" s="67">
        <v>105</v>
      </c>
      <c r="Q22" s="67">
        <v>25</v>
      </c>
      <c r="R22" s="67">
        <v>50</v>
      </c>
      <c r="S22" s="67">
        <f>T22+U22+V22</f>
        <v>12388.5</v>
      </c>
      <c r="T22" s="67">
        <v>0</v>
      </c>
      <c r="U22" s="67">
        <v>4332.6</v>
      </c>
      <c r="V22" s="68">
        <f>6621.8+1434.1</f>
        <v>8055.9</v>
      </c>
      <c r="W22" s="79">
        <f t="shared" si="5"/>
        <v>22197.5</v>
      </c>
      <c r="X22" s="128">
        <f>842-376</f>
        <v>466</v>
      </c>
      <c r="Y22" s="134">
        <f t="shared" si="0"/>
        <v>25178.800000000003</v>
      </c>
      <c r="Z22" s="134">
        <v>1940.1</v>
      </c>
      <c r="AA22" s="134">
        <v>499.1</v>
      </c>
      <c r="AB22" s="71">
        <v>8411</v>
      </c>
      <c r="AC22" s="89">
        <v>11485</v>
      </c>
      <c r="AD22" s="83"/>
      <c r="AE22" s="79">
        <v>586</v>
      </c>
      <c r="AF22" s="79">
        <v>0</v>
      </c>
      <c r="AG22" s="71"/>
      <c r="AH22" s="54">
        <v>376</v>
      </c>
      <c r="AI22" s="54">
        <f>35506-AB22-AC22-AE22</f>
        <v>15024</v>
      </c>
      <c r="AJ22" s="175">
        <v>0.5</v>
      </c>
      <c r="AK22" s="176">
        <f t="shared" si="6"/>
        <v>7512</v>
      </c>
      <c r="AL22" s="54">
        <f t="shared" si="7"/>
        <v>-2515.300000000003</v>
      </c>
      <c r="AM22" s="55">
        <f t="shared" si="8"/>
        <v>-2515.300000000003</v>
      </c>
      <c r="AN22" s="56">
        <f>AM22/X26*U28</f>
        <v>2100.6907511266063</v>
      </c>
      <c r="AO22" s="12">
        <v>1434.1</v>
      </c>
      <c r="AP22" s="94">
        <f t="shared" si="9"/>
        <v>3534.790751126606</v>
      </c>
      <c r="AQ22" s="97">
        <f t="shared" si="10"/>
        <v>1019.4907511266033</v>
      </c>
      <c r="AR22" s="12">
        <v>4949</v>
      </c>
      <c r="AS22" s="103">
        <f t="shared" si="11"/>
        <v>-1414.2092488733938</v>
      </c>
      <c r="AT22">
        <f t="shared" si="1"/>
        <v>35506</v>
      </c>
    </row>
    <row r="23" spans="1:46" ht="48.75" customHeight="1" thickBot="1">
      <c r="A23" s="13">
        <v>12</v>
      </c>
      <c r="B23" s="45" t="s">
        <v>52</v>
      </c>
      <c r="C23" s="54">
        <f t="shared" si="2"/>
        <v>3364</v>
      </c>
      <c r="D23" s="54">
        <f t="shared" si="3"/>
        <v>3149</v>
      </c>
      <c r="E23" s="67">
        <v>1313</v>
      </c>
      <c r="F23" s="67">
        <v>10</v>
      </c>
      <c r="G23" s="67">
        <v>300</v>
      </c>
      <c r="H23" s="67">
        <v>1500</v>
      </c>
      <c r="I23" s="67">
        <v>25</v>
      </c>
      <c r="J23" s="67">
        <v>1</v>
      </c>
      <c r="K23" s="54">
        <f t="shared" si="12"/>
        <v>215</v>
      </c>
      <c r="L23" s="67">
        <v>85</v>
      </c>
      <c r="M23" s="67">
        <v>0</v>
      </c>
      <c r="N23" s="67">
        <v>0</v>
      </c>
      <c r="O23" s="67">
        <v>0</v>
      </c>
      <c r="P23" s="67">
        <v>100</v>
      </c>
      <c r="Q23" s="67">
        <v>30</v>
      </c>
      <c r="R23" s="67">
        <v>0</v>
      </c>
      <c r="S23" s="67">
        <f>T23+U23+V23</f>
        <v>15053.2</v>
      </c>
      <c r="T23" s="67">
        <v>0</v>
      </c>
      <c r="U23" s="67">
        <v>9008.4</v>
      </c>
      <c r="V23" s="92">
        <f>4759.1+1285.7</f>
        <v>6044.8</v>
      </c>
      <c r="W23" s="79">
        <f t="shared" si="5"/>
        <v>18417.2</v>
      </c>
      <c r="X23" s="128">
        <f>1035-967</f>
        <v>68</v>
      </c>
      <c r="Y23" s="134">
        <f t="shared" si="0"/>
        <v>15871.399999999998</v>
      </c>
      <c r="Z23" s="134">
        <v>1646.2</v>
      </c>
      <c r="AA23" s="134">
        <v>341.4</v>
      </c>
      <c r="AB23" s="71">
        <v>5057</v>
      </c>
      <c r="AC23" s="89">
        <v>8224</v>
      </c>
      <c r="AD23" s="83"/>
      <c r="AE23" s="79">
        <v>853</v>
      </c>
      <c r="AF23" s="79">
        <v>0</v>
      </c>
      <c r="AG23" s="71"/>
      <c r="AH23" s="54">
        <v>967</v>
      </c>
      <c r="AI23" s="54">
        <f>23518-AB23-AC23-AE23</f>
        <v>9384</v>
      </c>
      <c r="AJ23" s="175">
        <v>0.5</v>
      </c>
      <c r="AK23" s="176">
        <f t="shared" si="6"/>
        <v>4692</v>
      </c>
      <c r="AL23" s="54">
        <f t="shared" si="7"/>
        <v>2613.800000000003</v>
      </c>
      <c r="AM23" s="174" t="b">
        <f t="shared" si="8"/>
        <v>0</v>
      </c>
      <c r="AN23" s="56">
        <f>AM23/X26*U28</f>
        <v>0</v>
      </c>
      <c r="AO23" s="12">
        <v>1285.7</v>
      </c>
      <c r="AP23" s="94">
        <f t="shared" si="9"/>
        <v>1285.7</v>
      </c>
      <c r="AQ23" s="97">
        <f t="shared" si="10"/>
        <v>1285.7</v>
      </c>
      <c r="AR23" s="102">
        <v>1050</v>
      </c>
      <c r="AS23" s="104">
        <f t="shared" si="11"/>
        <v>235.70000000000005</v>
      </c>
      <c r="AT23">
        <f t="shared" si="1"/>
        <v>23518</v>
      </c>
    </row>
    <row r="24" spans="1:46" ht="16.5" customHeight="1" thickBot="1">
      <c r="A24" s="13"/>
      <c r="B24" s="13"/>
      <c r="C24" s="54">
        <f aca="true" t="shared" si="13" ref="C24:T24">SUM(C11:C23)</f>
        <v>139934.68</v>
      </c>
      <c r="D24" s="54">
        <f t="shared" si="13"/>
        <v>135200.68</v>
      </c>
      <c r="E24" s="54">
        <f t="shared" si="13"/>
        <v>80288.78</v>
      </c>
      <c r="F24" s="54">
        <f t="shared" si="13"/>
        <v>35064</v>
      </c>
      <c r="G24" s="54">
        <f t="shared" si="13"/>
        <v>3301</v>
      </c>
      <c r="H24" s="54">
        <f t="shared" si="13"/>
        <v>16166.9</v>
      </c>
      <c r="I24" s="54">
        <f t="shared" si="13"/>
        <v>379</v>
      </c>
      <c r="J24" s="54">
        <f t="shared" si="13"/>
        <v>1</v>
      </c>
      <c r="K24" s="54">
        <f t="shared" si="13"/>
        <v>4734</v>
      </c>
      <c r="L24" s="54">
        <f t="shared" si="13"/>
        <v>994.2</v>
      </c>
      <c r="M24" s="54">
        <f t="shared" si="13"/>
        <v>1208.4</v>
      </c>
      <c r="N24" s="54">
        <f t="shared" si="13"/>
        <v>0</v>
      </c>
      <c r="O24" s="54"/>
      <c r="P24" s="54">
        <f t="shared" si="13"/>
        <v>1585</v>
      </c>
      <c r="Q24" s="54">
        <f t="shared" si="13"/>
        <v>169</v>
      </c>
      <c r="R24" s="54">
        <f t="shared" si="13"/>
        <v>534.5</v>
      </c>
      <c r="S24" s="54">
        <f t="shared" si="13"/>
        <v>77810</v>
      </c>
      <c r="T24" s="54">
        <f t="shared" si="13"/>
        <v>0</v>
      </c>
      <c r="U24" s="70">
        <f aca="true" t="shared" si="14" ref="U24:AS24">SUM(U11:U23)</f>
        <v>19362.6</v>
      </c>
      <c r="V24" s="93">
        <f t="shared" si="14"/>
        <v>58447.40000000001</v>
      </c>
      <c r="W24" s="80">
        <f t="shared" si="14"/>
        <v>217744.68000000002</v>
      </c>
      <c r="X24" s="130">
        <f t="shared" si="14"/>
        <v>15470</v>
      </c>
      <c r="Y24" s="134">
        <f t="shared" si="0"/>
        <v>213909.66</v>
      </c>
      <c r="Z24" s="135">
        <f t="shared" si="14"/>
        <v>19518.54</v>
      </c>
      <c r="AA24" s="135">
        <f t="shared" si="14"/>
        <v>3960.2999999999997</v>
      </c>
      <c r="AB24" s="133">
        <f t="shared" si="14"/>
        <v>50401</v>
      </c>
      <c r="AC24" s="91">
        <f t="shared" si="14"/>
        <v>109874</v>
      </c>
      <c r="AD24" s="83">
        <f t="shared" si="14"/>
        <v>0</v>
      </c>
      <c r="AE24" s="76">
        <f t="shared" si="14"/>
        <v>10016</v>
      </c>
      <c r="AF24" s="76">
        <f t="shared" si="14"/>
        <v>683</v>
      </c>
      <c r="AG24" s="71">
        <f t="shared" si="14"/>
        <v>0</v>
      </c>
      <c r="AH24" s="54">
        <f t="shared" si="14"/>
        <v>7146</v>
      </c>
      <c r="AI24" s="54">
        <f t="shared" si="14"/>
        <v>147121</v>
      </c>
      <c r="AJ24" s="175">
        <v>0.5</v>
      </c>
      <c r="AK24" s="176">
        <f t="shared" si="6"/>
        <v>73560.5</v>
      </c>
      <c r="AL24" s="54">
        <f t="shared" si="14"/>
        <v>19305.02000000001</v>
      </c>
      <c r="AM24" s="55">
        <f t="shared" si="14"/>
        <v>-17242.1</v>
      </c>
      <c r="AN24" s="95">
        <f t="shared" si="14"/>
        <v>14400.000000000007</v>
      </c>
      <c r="AO24" s="96">
        <f t="shared" si="14"/>
        <v>8392.5</v>
      </c>
      <c r="AP24" s="97">
        <f t="shared" si="14"/>
        <v>22792.500000000007</v>
      </c>
      <c r="AQ24" s="97">
        <f t="shared" si="14"/>
        <v>5550.400000000008</v>
      </c>
      <c r="AR24" s="97">
        <f t="shared" si="14"/>
        <v>33225</v>
      </c>
      <c r="AS24" s="97">
        <f t="shared" si="14"/>
        <v>-10432.49999999999</v>
      </c>
      <c r="AT24">
        <f t="shared" si="1"/>
        <v>318095</v>
      </c>
    </row>
    <row r="25" spans="1:40" ht="0.75" customHeight="1">
      <c r="A25" s="47"/>
      <c r="B25" s="4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6"/>
      <c r="P25" s="166"/>
      <c r="Q25" s="166"/>
      <c r="R25" s="166"/>
      <c r="S25" s="166"/>
      <c r="T25" s="167"/>
      <c r="U25" s="167" t="s">
        <v>67</v>
      </c>
      <c r="V25" s="167"/>
      <c r="W25" s="168">
        <f>SUM(W11:W23)-W23-W21-W20-W19-W11-W12-W18</f>
        <v>53054.7</v>
      </c>
      <c r="X25" s="168">
        <f>SUM(X11:X23)-X23-X21-X20-X19-X11-X12-X18</f>
        <v>3439</v>
      </c>
      <c r="Y25" s="168">
        <f>SUM(Y11:Y23)-Y23-Y21-Y20-Y19-Y11-Y12-Y18</f>
        <v>73735.79999999999</v>
      </c>
      <c r="Z25" s="169"/>
      <c r="AA25" s="169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6">
        <f>SUM(AN11:AN23)</f>
        <v>14400.000000000007</v>
      </c>
    </row>
    <row r="26" spans="1:40" ht="16.5" customHeight="1" hidden="1">
      <c r="A26" s="47"/>
      <c r="B26" s="4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6"/>
      <c r="P26" s="166"/>
      <c r="Q26" s="166"/>
      <c r="R26" s="166"/>
      <c r="S26" s="166"/>
      <c r="T26" s="167"/>
      <c r="U26" s="167" t="s">
        <v>68</v>
      </c>
      <c r="V26" s="167"/>
      <c r="W26" s="170"/>
      <c r="X26" s="171">
        <f>W25-Y25+X25</f>
        <v>-17242.09999999999</v>
      </c>
      <c r="Y26" s="170"/>
      <c r="Z26" s="170"/>
      <c r="AA26" s="170"/>
      <c r="AB26" s="167"/>
      <c r="AC26" s="167"/>
      <c r="AD26" s="167"/>
      <c r="AE26" s="167"/>
      <c r="AF26" s="167" t="s">
        <v>79</v>
      </c>
      <c r="AG26" s="167"/>
      <c r="AH26" s="167"/>
      <c r="AI26" s="167"/>
      <c r="AJ26" s="167"/>
      <c r="AK26" s="167"/>
      <c r="AL26" s="167"/>
      <c r="AM26" s="167"/>
      <c r="AN26" s="166"/>
    </row>
    <row r="27" spans="3:40" ht="15" hidden="1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113"/>
      <c r="U27" s="172" t="s">
        <v>112</v>
      </c>
      <c r="V27" s="172">
        <v>8392.5</v>
      </c>
      <c r="W27" s="113"/>
      <c r="X27" s="113"/>
      <c r="Y27" s="113"/>
      <c r="Z27" s="113"/>
      <c r="AA27" s="113"/>
      <c r="AB27" s="113"/>
      <c r="AC27" s="113"/>
      <c r="AD27" s="60"/>
      <c r="AE27" s="60"/>
      <c r="AF27" s="58"/>
      <c r="AG27" s="57"/>
      <c r="AH27" s="57"/>
      <c r="AI27" s="57"/>
      <c r="AJ27" s="57"/>
      <c r="AK27" s="57"/>
      <c r="AL27" s="57"/>
      <c r="AM27" s="57"/>
      <c r="AN27" s="57"/>
    </row>
    <row r="28" spans="3:40" ht="1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 t="s">
        <v>70</v>
      </c>
      <c r="T28" s="114"/>
      <c r="U28" s="173">
        <v>14400</v>
      </c>
      <c r="V28" s="114"/>
      <c r="W28" s="114"/>
      <c r="X28" s="114"/>
      <c r="Y28" s="114"/>
      <c r="Z28" s="114"/>
      <c r="AA28" s="114"/>
      <c r="AB28" s="114"/>
      <c r="AC28" s="114"/>
      <c r="AD28" s="59"/>
      <c r="AE28" s="59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20:40" ht="15" hidden="1">
      <c r="T29" s="116"/>
      <c r="U29" s="117"/>
      <c r="V29" s="116"/>
      <c r="W29" s="116"/>
      <c r="X29" s="116"/>
      <c r="Y29" s="116"/>
      <c r="Z29" s="116"/>
      <c r="AA29" s="116"/>
      <c r="AB29" s="116"/>
      <c r="AC29" s="116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20:40" ht="15"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F30" s="47"/>
      <c r="AG30" s="47"/>
      <c r="AH30" s="47"/>
      <c r="AI30" s="47"/>
      <c r="AJ30" s="47"/>
      <c r="AK30" s="47"/>
      <c r="AL30" s="47"/>
      <c r="AM30" s="47"/>
      <c r="AN30" s="47"/>
    </row>
  </sheetData>
  <sheetProtection password="CC71" sheet="1"/>
  <mergeCells count="2">
    <mergeCell ref="AG9:AG10"/>
    <mergeCell ref="AN9:AN10"/>
  </mergeCells>
  <printOptions/>
  <pageMargins left="0.31496062992125984" right="0.1968503937007874" top="0.15748031496062992" bottom="0.15748031496062992" header="0.31496062992125984" footer="0.31496062992125984"/>
  <pageSetup fitToHeight="1" fitToWidth="1" horizontalDpi="180" verticalDpi="18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0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2.57421875" style="0" customWidth="1"/>
    <col min="2" max="2" width="23.7109375" style="0" customWidth="1"/>
    <col min="8" max="8" width="10.57421875" style="0" customWidth="1"/>
    <col min="13" max="13" width="7.7109375" style="0" customWidth="1"/>
    <col min="14" max="14" width="14.00390625" style="0" customWidth="1"/>
    <col min="15" max="15" width="0.13671875" style="0" customWidth="1"/>
    <col min="16" max="16" width="9.140625" style="0" hidden="1" customWidth="1"/>
  </cols>
  <sheetData>
    <row r="4" spans="1:14" ht="15">
      <c r="A4" s="118" t="str">
        <f>'Расчет -30%'!A9</f>
        <v>№</v>
      </c>
      <c r="B4" s="118" t="str">
        <f>'Расчет -30%'!B9</f>
        <v>Наименование</v>
      </c>
      <c r="C4" s="121">
        <v>2017</v>
      </c>
      <c r="D4" s="121">
        <v>2017</v>
      </c>
      <c r="E4" s="121">
        <v>2017</v>
      </c>
      <c r="F4" s="102">
        <v>2017</v>
      </c>
      <c r="G4" s="121">
        <v>2018</v>
      </c>
      <c r="H4" s="121">
        <v>2018</v>
      </c>
      <c r="I4" s="121">
        <v>2018</v>
      </c>
      <c r="J4" s="141">
        <v>2018</v>
      </c>
      <c r="K4" s="121">
        <v>2018</v>
      </c>
      <c r="L4" s="102">
        <v>2018</v>
      </c>
      <c r="M4" s="102" t="s">
        <v>126</v>
      </c>
      <c r="N4" s="12" t="s">
        <v>128</v>
      </c>
    </row>
    <row r="5" spans="1:14" ht="45">
      <c r="A5" s="118">
        <f>'Расчет -30%'!A10</f>
        <v>0</v>
      </c>
      <c r="B5" s="118">
        <f>'Расчет -30%'!B10</f>
        <v>0</v>
      </c>
      <c r="C5" s="121" t="s">
        <v>123</v>
      </c>
      <c r="D5" s="121" t="s">
        <v>124</v>
      </c>
      <c r="E5" s="121" t="s">
        <v>125</v>
      </c>
      <c r="F5" s="102" t="s">
        <v>114</v>
      </c>
      <c r="G5" s="121" t="s">
        <v>123</v>
      </c>
      <c r="H5" s="142" t="s">
        <v>156</v>
      </c>
      <c r="I5" s="142" t="s">
        <v>154</v>
      </c>
      <c r="J5" s="142" t="s">
        <v>155</v>
      </c>
      <c r="K5" s="121" t="s">
        <v>125</v>
      </c>
      <c r="L5" s="102" t="s">
        <v>114</v>
      </c>
      <c r="M5" s="143" t="s">
        <v>127</v>
      </c>
      <c r="N5" s="144" t="s">
        <v>129</v>
      </c>
    </row>
    <row r="6" spans="1:16" ht="15">
      <c r="A6" s="118">
        <f>'Расчет -30%'!A11</f>
        <v>1</v>
      </c>
      <c r="B6" s="118" t="str">
        <f>'Расчет -30%'!B11</f>
        <v>Большееланское сел.пос. </v>
      </c>
      <c r="C6" s="122">
        <v>0</v>
      </c>
      <c r="D6" s="122">
        <v>4126.2</v>
      </c>
      <c r="E6" s="122">
        <v>3150.2</v>
      </c>
      <c r="F6" s="100">
        <f>C6+D6+E6</f>
        <v>7276.4</v>
      </c>
      <c r="G6" s="122"/>
      <c r="H6" s="122">
        <v>7433.5</v>
      </c>
      <c r="I6" s="122">
        <v>806</v>
      </c>
      <c r="J6" s="141">
        <v>8239.5</v>
      </c>
      <c r="K6" s="123">
        <f>'Расчет -50% (2)'!AN11</f>
        <v>0</v>
      </c>
      <c r="L6" s="103">
        <f>G6+J6+K6</f>
        <v>8239.5</v>
      </c>
      <c r="M6" s="100">
        <f>'Расчет -30%'!X11</f>
        <v>1916</v>
      </c>
      <c r="N6" s="94">
        <f>L6+M6-F6</f>
        <v>2879.1000000000004</v>
      </c>
      <c r="O6">
        <f>H6+I6</f>
        <v>8239.5</v>
      </c>
      <c r="P6">
        <f>J6-O6</f>
        <v>0</v>
      </c>
    </row>
    <row r="7" spans="1:16" ht="15">
      <c r="A7" s="118">
        <v>2</v>
      </c>
      <c r="B7" s="118" t="str">
        <f>'Расчет -30%'!B12</f>
        <v>Железнодорожное сел.пос. </v>
      </c>
      <c r="C7" s="122"/>
      <c r="D7" s="122">
        <v>4074.7</v>
      </c>
      <c r="E7" s="122">
        <v>0</v>
      </c>
      <c r="F7" s="100">
        <f aca="true" t="shared" si="0" ref="F7:F19">C7+D7+E7</f>
        <v>4074.7</v>
      </c>
      <c r="G7" s="122"/>
      <c r="H7" s="122">
        <v>1966.4</v>
      </c>
      <c r="I7" s="122">
        <v>736.1</v>
      </c>
      <c r="J7" s="141">
        <v>2702.5</v>
      </c>
      <c r="K7" s="123">
        <f>'Расчет -50% (2)'!AN12</f>
        <v>0</v>
      </c>
      <c r="L7" s="103">
        <f aca="true" t="shared" si="1" ref="L7:L19">G7+J7+K7</f>
        <v>2702.5</v>
      </c>
      <c r="M7" s="100">
        <f>'Расчет -30%'!X12</f>
        <v>876</v>
      </c>
      <c r="N7" s="94">
        <f aca="true" t="shared" si="2" ref="N7:N18">L7+M7-F7</f>
        <v>-496.1999999999998</v>
      </c>
      <c r="O7">
        <f aca="true" t="shared" si="3" ref="O7:O18">H7+I7</f>
        <v>2702.5</v>
      </c>
      <c r="P7">
        <f aca="true" t="shared" si="4" ref="P7:P18">J7-O7</f>
        <v>0</v>
      </c>
    </row>
    <row r="8" spans="1:16" ht="15">
      <c r="A8" s="118">
        <f>'Расчет -30%'!A13</f>
        <v>0</v>
      </c>
      <c r="B8" s="118" t="str">
        <f>'Расчет -30%'!B13</f>
        <v>Мальтинское сел.пос.</v>
      </c>
      <c r="C8" s="122">
        <v>0</v>
      </c>
      <c r="D8" s="122">
        <v>7222.8</v>
      </c>
      <c r="E8" s="122">
        <v>0</v>
      </c>
      <c r="F8" s="100">
        <f t="shared" si="0"/>
        <v>7222.8</v>
      </c>
      <c r="G8" s="122"/>
      <c r="H8" s="122">
        <v>0</v>
      </c>
      <c r="I8" s="122">
        <v>0</v>
      </c>
      <c r="J8" s="141">
        <v>0</v>
      </c>
      <c r="K8" s="123">
        <f>'Расчет -50% (2)'!AN13</f>
        <v>0</v>
      </c>
      <c r="L8" s="103">
        <f t="shared" si="1"/>
        <v>0</v>
      </c>
      <c r="M8" s="100">
        <f>'Расчет -30%'!X13</f>
        <v>0</v>
      </c>
      <c r="N8" s="94">
        <f t="shared" si="2"/>
        <v>-7222.8</v>
      </c>
      <c r="O8">
        <f t="shared" si="3"/>
        <v>0</v>
      </c>
      <c r="P8">
        <f t="shared" si="4"/>
        <v>0</v>
      </c>
    </row>
    <row r="9" spans="1:16" ht="15">
      <c r="A9" s="118">
        <f>'Расчет -30%'!A14</f>
        <v>3</v>
      </c>
      <c r="B9" s="118" t="str">
        <f>'Расчет -30%'!B14</f>
        <v>Новожилкинское сел.пос.</v>
      </c>
      <c r="C9" s="122">
        <v>251.5</v>
      </c>
      <c r="D9" s="122">
        <v>9851</v>
      </c>
      <c r="E9" s="122">
        <v>3482.7</v>
      </c>
      <c r="F9" s="100">
        <f t="shared" si="0"/>
        <v>13585.2</v>
      </c>
      <c r="G9" s="122">
        <v>148.4</v>
      </c>
      <c r="H9" s="122">
        <v>7605.6</v>
      </c>
      <c r="I9" s="122">
        <v>701.7</v>
      </c>
      <c r="J9" s="141">
        <v>8307.3</v>
      </c>
      <c r="K9" s="123">
        <f>'Расчет -50% (2)'!AN14</f>
        <v>3268.5856131213723</v>
      </c>
      <c r="L9" s="103">
        <f t="shared" si="1"/>
        <v>11724.28561312137</v>
      </c>
      <c r="M9" s="100">
        <f>'Расчет -30%'!X14</f>
        <v>628</v>
      </c>
      <c r="N9" s="94">
        <f t="shared" si="2"/>
        <v>-1232.9143868786305</v>
      </c>
      <c r="O9">
        <f t="shared" si="3"/>
        <v>8307.300000000001</v>
      </c>
      <c r="P9">
        <f t="shared" si="4"/>
        <v>0</v>
      </c>
    </row>
    <row r="10" spans="1:16" ht="15">
      <c r="A10" s="118">
        <f>'Расчет -30%'!A15</f>
        <v>4</v>
      </c>
      <c r="B10" s="118" t="str">
        <f>'Расчет -30%'!B15</f>
        <v>Новомальтинское сел.пос.</v>
      </c>
      <c r="C10" s="122">
        <v>0</v>
      </c>
      <c r="D10" s="122">
        <v>5909.8</v>
      </c>
      <c r="E10" s="122">
        <v>4845.5</v>
      </c>
      <c r="F10" s="100">
        <f t="shared" si="0"/>
        <v>10755.3</v>
      </c>
      <c r="G10" s="122"/>
      <c r="H10" s="122">
        <v>3387.3</v>
      </c>
      <c r="I10" s="122">
        <v>477.1</v>
      </c>
      <c r="J10" s="141">
        <v>3864.4</v>
      </c>
      <c r="K10" s="123">
        <f>'Расчет -50% (2)'!AN15</f>
        <v>4884.0454469003225</v>
      </c>
      <c r="L10" s="103">
        <f t="shared" si="1"/>
        <v>8748.445446900323</v>
      </c>
      <c r="M10" s="100">
        <f>'Расчет -30%'!X15</f>
        <v>52</v>
      </c>
      <c r="N10" s="94">
        <f t="shared" si="2"/>
        <v>-1954.8545530996762</v>
      </c>
      <c r="O10">
        <f t="shared" si="3"/>
        <v>3864.4</v>
      </c>
      <c r="P10">
        <f t="shared" si="4"/>
        <v>0</v>
      </c>
    </row>
    <row r="11" spans="1:16" ht="15">
      <c r="A11" s="118">
        <f>'Расчет -30%'!A16</f>
        <v>5</v>
      </c>
      <c r="B11" s="118" t="str">
        <f>'Расчет -30%'!B16</f>
        <v>Раздольинское сел.пос.</v>
      </c>
      <c r="C11" s="122">
        <v>243.9</v>
      </c>
      <c r="D11" s="122">
        <v>3983.4</v>
      </c>
      <c r="E11" s="122">
        <v>5732.3</v>
      </c>
      <c r="F11" s="100">
        <f t="shared" si="0"/>
        <v>9959.6</v>
      </c>
      <c r="G11" s="122">
        <v>488.8</v>
      </c>
      <c r="H11" s="122">
        <v>5070.6</v>
      </c>
      <c r="I11" s="122">
        <v>470</v>
      </c>
      <c r="J11" s="141">
        <v>5540.6</v>
      </c>
      <c r="K11" s="123">
        <f>'Расчет -50% (2)'!AN16</f>
        <v>3244.282308999484</v>
      </c>
      <c r="L11" s="103">
        <f t="shared" si="1"/>
        <v>9273.682308999485</v>
      </c>
      <c r="M11" s="100">
        <f>'Расчет -30%'!X16</f>
        <v>39</v>
      </c>
      <c r="N11" s="94">
        <f t="shared" si="2"/>
        <v>-646.9176910005153</v>
      </c>
      <c r="O11">
        <f t="shared" si="3"/>
        <v>5540.6</v>
      </c>
      <c r="P11">
        <f t="shared" si="4"/>
        <v>0</v>
      </c>
    </row>
    <row r="12" spans="1:16" ht="15">
      <c r="A12" s="118">
        <f>'Расчет -30%'!A17</f>
        <v>6</v>
      </c>
      <c r="B12" s="118" t="str">
        <f>'Расчет -30%'!B17</f>
        <v>Сосновское сел.пос.</v>
      </c>
      <c r="C12" s="122">
        <v>0</v>
      </c>
      <c r="D12" s="122">
        <v>5322.6</v>
      </c>
      <c r="E12" s="122">
        <v>2910.7</v>
      </c>
      <c r="F12" s="100">
        <f t="shared" si="0"/>
        <v>8233.3</v>
      </c>
      <c r="G12" s="122"/>
      <c r="H12" s="122">
        <v>3033.6</v>
      </c>
      <c r="I12" s="122">
        <v>518.3</v>
      </c>
      <c r="J12" s="141">
        <v>3551.9</v>
      </c>
      <c r="K12" s="123">
        <f>'Расчет -50% (2)'!AN17</f>
        <v>902.3958798522226</v>
      </c>
      <c r="L12" s="103">
        <f t="shared" si="1"/>
        <v>4454.295879852223</v>
      </c>
      <c r="M12" s="100">
        <f>'Расчет -30%'!X17</f>
        <v>2254</v>
      </c>
      <c r="N12" s="94">
        <f t="shared" si="2"/>
        <v>-1525.0041201477761</v>
      </c>
      <c r="O12">
        <f t="shared" si="3"/>
        <v>3551.8999999999996</v>
      </c>
      <c r="P12">
        <f t="shared" si="4"/>
        <v>0</v>
      </c>
    </row>
    <row r="13" spans="1:16" ht="15">
      <c r="A13" s="118">
        <f>'Расчет -30%'!A18</f>
        <v>7</v>
      </c>
      <c r="B13" s="118" t="str">
        <f>'Расчет -30%'!B18</f>
        <v>Тальянское сел.пос.</v>
      </c>
      <c r="C13" s="122">
        <v>257.9</v>
      </c>
      <c r="D13" s="122">
        <v>2374.8</v>
      </c>
      <c r="E13" s="122">
        <v>3128.6</v>
      </c>
      <c r="F13" s="100">
        <f t="shared" si="0"/>
        <v>5761.3</v>
      </c>
      <c r="G13" s="122">
        <v>535.5</v>
      </c>
      <c r="H13" s="122">
        <v>3588.2</v>
      </c>
      <c r="I13" s="122">
        <v>338.8</v>
      </c>
      <c r="J13" s="141">
        <v>3927</v>
      </c>
      <c r="K13" s="123">
        <f>'Расчет -50% (2)'!AN18</f>
        <v>0</v>
      </c>
      <c r="L13" s="103">
        <f t="shared" si="1"/>
        <v>4462.5</v>
      </c>
      <c r="M13" s="100">
        <f>'Расчет -30%'!X18</f>
        <v>4</v>
      </c>
      <c r="N13" s="94">
        <f t="shared" si="2"/>
        <v>-1294.8000000000002</v>
      </c>
      <c r="O13">
        <f t="shared" si="3"/>
        <v>3927</v>
      </c>
      <c r="P13">
        <f t="shared" si="4"/>
        <v>0</v>
      </c>
    </row>
    <row r="14" spans="1:16" ht="15">
      <c r="A14" s="118">
        <f>'Расчет -30%'!A19</f>
        <v>8</v>
      </c>
      <c r="B14" s="118" t="str">
        <f>'Расчет -30%'!B19</f>
        <v>Белореченское гор.пос. </v>
      </c>
      <c r="C14" s="122">
        <v>0</v>
      </c>
      <c r="D14" s="122">
        <v>0</v>
      </c>
      <c r="E14" s="122">
        <v>0</v>
      </c>
      <c r="F14" s="100">
        <f t="shared" si="0"/>
        <v>0</v>
      </c>
      <c r="G14" s="122"/>
      <c r="H14" s="122">
        <v>0</v>
      </c>
      <c r="I14" s="122">
        <v>0</v>
      </c>
      <c r="J14" s="141">
        <v>0</v>
      </c>
      <c r="K14" s="123">
        <f>'Расчет -50% (2)'!AN19</f>
        <v>0</v>
      </c>
      <c r="L14" s="103">
        <f t="shared" si="1"/>
        <v>0</v>
      </c>
      <c r="M14" s="100">
        <f>'Расчет -30%'!X19</f>
        <v>1913</v>
      </c>
      <c r="N14" s="94">
        <f t="shared" si="2"/>
        <v>1913</v>
      </c>
      <c r="O14">
        <f t="shared" si="3"/>
        <v>0</v>
      </c>
      <c r="P14">
        <f t="shared" si="4"/>
        <v>0</v>
      </c>
    </row>
    <row r="15" spans="1:16" ht="15">
      <c r="A15" s="118">
        <f>'Расчет -30%'!A20</f>
        <v>9</v>
      </c>
      <c r="B15" s="118" t="str">
        <f>'Расчет -30%'!B20</f>
        <v>Мишелевское гор.пос. </v>
      </c>
      <c r="C15" s="122">
        <v>2745.7</v>
      </c>
      <c r="D15" s="122">
        <v>10532.4</v>
      </c>
      <c r="E15" s="122">
        <v>0</v>
      </c>
      <c r="F15" s="100">
        <f t="shared" si="0"/>
        <v>13278.099999999999</v>
      </c>
      <c r="G15" s="122">
        <v>4848.9</v>
      </c>
      <c r="H15" s="122">
        <v>6588.8</v>
      </c>
      <c r="I15" s="122">
        <v>1624.7</v>
      </c>
      <c r="J15" s="141">
        <v>8213.5</v>
      </c>
      <c r="K15" s="123">
        <f>'Расчет -50% (2)'!AN20</f>
        <v>0</v>
      </c>
      <c r="L15" s="103">
        <f t="shared" si="1"/>
        <v>13062.4</v>
      </c>
      <c r="M15" s="100">
        <f>'Расчет -30%'!X20</f>
        <v>2187</v>
      </c>
      <c r="N15" s="94">
        <f t="shared" si="2"/>
        <v>1971.300000000001</v>
      </c>
      <c r="O15">
        <f t="shared" si="3"/>
        <v>8213.5</v>
      </c>
      <c r="P15">
        <f t="shared" si="4"/>
        <v>0</v>
      </c>
    </row>
    <row r="16" spans="1:16" ht="15">
      <c r="A16" s="118">
        <f>'Расчет -30%'!A21</f>
        <v>10</v>
      </c>
      <c r="B16" s="118" t="str">
        <f>'Расчет -30%'!B21</f>
        <v>Среднинское гор.пос.</v>
      </c>
      <c r="C16" s="122">
        <v>0</v>
      </c>
      <c r="D16" s="122">
        <v>0</v>
      </c>
      <c r="E16" s="122">
        <v>0</v>
      </c>
      <c r="F16" s="100">
        <f t="shared" si="0"/>
        <v>0</v>
      </c>
      <c r="G16" s="122"/>
      <c r="H16" s="122">
        <v>0</v>
      </c>
      <c r="I16" s="122">
        <v>0</v>
      </c>
      <c r="J16" s="141"/>
      <c r="K16" s="123">
        <f>'Расчет -50% (2)'!AN21</f>
        <v>0</v>
      </c>
      <c r="L16" s="103">
        <f t="shared" si="1"/>
        <v>0</v>
      </c>
      <c r="M16" s="100">
        <f>'Расчет -30%'!X21</f>
        <v>5067</v>
      </c>
      <c r="N16" s="94">
        <f t="shared" si="2"/>
        <v>5067</v>
      </c>
      <c r="O16">
        <f t="shared" si="3"/>
        <v>0</v>
      </c>
      <c r="P16">
        <f t="shared" si="4"/>
        <v>0</v>
      </c>
    </row>
    <row r="17" spans="1:16" ht="15">
      <c r="A17" s="118">
        <f>'Расчет -30%'!A22</f>
        <v>11</v>
      </c>
      <c r="B17" s="118" t="str">
        <f>'Расчет -30%'!B22</f>
        <v>Тайтурское гор.пос. </v>
      </c>
      <c r="C17" s="122">
        <v>4608.1</v>
      </c>
      <c r="D17" s="122">
        <v>9999.5</v>
      </c>
      <c r="E17" s="122">
        <v>0</v>
      </c>
      <c r="F17" s="100">
        <f t="shared" si="0"/>
        <v>14607.6</v>
      </c>
      <c r="G17" s="122">
        <v>4332.6</v>
      </c>
      <c r="H17" s="122">
        <v>6621.8</v>
      </c>
      <c r="I17" s="122">
        <v>1434.1</v>
      </c>
      <c r="J17" s="141">
        <v>8055.9</v>
      </c>
      <c r="K17" s="123">
        <f>'Расчет -50% (2)'!AN22</f>
        <v>2100.6907511266063</v>
      </c>
      <c r="L17" s="103">
        <f t="shared" si="1"/>
        <v>14489.190751126607</v>
      </c>
      <c r="M17" s="100">
        <f>'Расчет -30%'!X22</f>
        <v>466</v>
      </c>
      <c r="N17" s="94">
        <f t="shared" si="2"/>
        <v>347.59075112660685</v>
      </c>
      <c r="O17">
        <f t="shared" si="3"/>
        <v>8055.9</v>
      </c>
      <c r="P17">
        <f t="shared" si="4"/>
        <v>0</v>
      </c>
    </row>
    <row r="18" spans="1:16" ht="15">
      <c r="A18" s="118">
        <f>'Расчет -30%'!A23</f>
        <v>12</v>
      </c>
      <c r="B18" s="118" t="str">
        <f>'Расчет -30%'!B23</f>
        <v>Тельминское гор.пос.  </v>
      </c>
      <c r="C18" s="122">
        <v>7048.1</v>
      </c>
      <c r="D18" s="122">
        <v>6504.7</v>
      </c>
      <c r="E18" s="122">
        <v>0</v>
      </c>
      <c r="F18" s="100">
        <f t="shared" si="0"/>
        <v>13552.8</v>
      </c>
      <c r="G18" s="122">
        <v>9008.4</v>
      </c>
      <c r="H18" s="122">
        <v>4759.1</v>
      </c>
      <c r="I18" s="122">
        <v>1285.7</v>
      </c>
      <c r="J18" s="141">
        <v>6044.8</v>
      </c>
      <c r="K18" s="123">
        <f>'Расчет -50% (2)'!AN23</f>
        <v>0</v>
      </c>
      <c r="L18" s="103">
        <f t="shared" si="1"/>
        <v>15053.2</v>
      </c>
      <c r="M18" s="100">
        <f>'Расчет -30%'!X23</f>
        <v>68</v>
      </c>
      <c r="N18" s="94">
        <f t="shared" si="2"/>
        <v>1568.4000000000015</v>
      </c>
      <c r="O18">
        <f t="shared" si="3"/>
        <v>6044.8</v>
      </c>
      <c r="P18">
        <f t="shared" si="4"/>
        <v>0</v>
      </c>
    </row>
    <row r="19" spans="1:14" ht="15">
      <c r="A19" s="118"/>
      <c r="B19" s="118"/>
      <c r="C19" s="121">
        <f>SUM(C6:C18)</f>
        <v>15155.2</v>
      </c>
      <c r="D19" s="121">
        <f>SUM(D6:D18)</f>
        <v>69901.90000000001</v>
      </c>
      <c r="E19" s="121">
        <f>SUM(E6:E18)</f>
        <v>23250</v>
      </c>
      <c r="F19" s="102">
        <f t="shared" si="0"/>
        <v>108307.1</v>
      </c>
      <c r="G19" s="121">
        <f>SUM(G6:G18)</f>
        <v>19362.6</v>
      </c>
      <c r="H19" s="121">
        <f>SUM(H6:H18)</f>
        <v>50054.9</v>
      </c>
      <c r="I19" s="121">
        <f>SUM(I6:I18)</f>
        <v>8392.5</v>
      </c>
      <c r="J19" s="141">
        <f>SUM(J6:J18)</f>
        <v>58447.40000000001</v>
      </c>
      <c r="K19" s="123">
        <f>'Расчет -50% (2)'!AN24</f>
        <v>14400.000000000007</v>
      </c>
      <c r="L19" s="120">
        <f t="shared" si="1"/>
        <v>92210</v>
      </c>
      <c r="M19" s="102">
        <f>'Расчет -30%'!X24</f>
        <v>15470</v>
      </c>
      <c r="N19" s="94"/>
    </row>
    <row r="20" ht="15">
      <c r="J20">
        <f>H19+I19</f>
        <v>58447.4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2017-06-16T02:32:20Z</cp:lastPrinted>
  <dcterms:created xsi:type="dcterms:W3CDTF">2006-09-28T05:33:49Z</dcterms:created>
  <dcterms:modified xsi:type="dcterms:W3CDTF">2018-03-30T06:27:44Z</dcterms:modified>
  <cp:category/>
  <cp:version/>
  <cp:contentType/>
  <cp:contentStatus/>
</cp:coreProperties>
</file>